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OJECTS\P019_JovE_FCCS\Manuscript\SI\"/>
    </mc:Choice>
  </mc:AlternateContent>
  <bookViews>
    <workbookView xWindow="0" yWindow="0" windowWidth="38400" windowHeight="17700"/>
  </bookViews>
  <sheets>
    <sheet name="Countrates" sheetId="5" r:id="rId1"/>
    <sheet name="Calibration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6" l="1"/>
  <c r="N42" i="6"/>
  <c r="M42" i="6"/>
  <c r="K42" i="6"/>
  <c r="N36" i="6"/>
  <c r="M38" i="6"/>
  <c r="O15" i="6"/>
  <c r="O13" i="6"/>
  <c r="N13" i="6"/>
  <c r="J42" i="6" l="1"/>
  <c r="C47" i="6"/>
  <c r="C38" i="6"/>
  <c r="C23" i="6"/>
  <c r="H23" i="6"/>
  <c r="O30" i="6"/>
  <c r="O29" i="6"/>
  <c r="O28" i="6"/>
  <c r="O27" i="6"/>
  <c r="N30" i="6"/>
  <c r="N29" i="6"/>
  <c r="N28" i="6"/>
  <c r="N27" i="6"/>
  <c r="P19" i="6"/>
  <c r="R19" i="6" s="1"/>
  <c r="O14" i="6"/>
  <c r="O12" i="6"/>
  <c r="N15" i="6"/>
  <c r="N14" i="6"/>
  <c r="N12" i="6"/>
  <c r="P4" i="6"/>
  <c r="R4" i="6" s="1"/>
  <c r="H15" i="6"/>
  <c r="H6" i="6"/>
  <c r="H4" i="6"/>
  <c r="C15" i="6"/>
  <c r="C6" i="6"/>
  <c r="C4" i="6"/>
  <c r="O42" i="6" l="1"/>
  <c r="P13" i="6"/>
  <c r="P15" i="6"/>
  <c r="P27" i="6"/>
  <c r="C35" i="6"/>
  <c r="C36" i="6" s="1"/>
  <c r="C41" i="6" s="1"/>
  <c r="C42" i="6" s="1"/>
  <c r="P30" i="6"/>
  <c r="P29" i="6"/>
  <c r="P28" i="6"/>
  <c r="P12" i="6"/>
  <c r="P14" i="6"/>
  <c r="C9" i="6"/>
  <c r="C10" i="6" s="1"/>
  <c r="C11" i="6" s="1"/>
  <c r="H9" i="6"/>
  <c r="H10" i="6" s="1"/>
  <c r="H11" i="6" s="1"/>
  <c r="H13" i="6" l="1"/>
  <c r="P36" i="6"/>
  <c r="C13" i="6"/>
  <c r="L36" i="6"/>
  <c r="R13" i="6"/>
  <c r="H12" i="6"/>
  <c r="H16" i="6" s="1"/>
  <c r="H17" i="6" s="1"/>
  <c r="R28" i="6"/>
  <c r="C43" i="6"/>
  <c r="C45" i="6" s="1"/>
  <c r="C44" i="6"/>
  <c r="C48" i="6" s="1"/>
  <c r="C49" i="6" s="1"/>
  <c r="C12" i="6"/>
  <c r="C16" i="6" s="1"/>
  <c r="J36" i="6" s="1"/>
  <c r="H24" i="6" l="1"/>
  <c r="H25" i="6"/>
  <c r="H26" i="6" s="1"/>
  <c r="H27" i="6" s="1"/>
  <c r="H28" i="6" s="1"/>
  <c r="C17" i="6"/>
  <c r="C24" i="6"/>
  <c r="C25" i="6" s="1"/>
  <c r="C26" i="6" s="1"/>
  <c r="C27" i="6" s="1"/>
  <c r="C28" i="6" s="1"/>
</calcChain>
</file>

<file path=xl/sharedStrings.xml><?xml version="1.0" encoding="utf-8"?>
<sst xmlns="http://schemas.openxmlformats.org/spreadsheetml/2006/main" count="167" uniqueCount="94">
  <si>
    <t>D</t>
  </si>
  <si>
    <t>s</t>
  </si>
  <si>
    <t>µm²/s</t>
  </si>
  <si>
    <t>m²/s</t>
  </si>
  <si>
    <t>µs</t>
  </si>
  <si>
    <t>m</t>
  </si>
  <si>
    <t>µm</t>
  </si>
  <si>
    <t>V</t>
  </si>
  <si>
    <t>fl</t>
  </si>
  <si>
    <t>1 fl = 1e-15 l</t>
  </si>
  <si>
    <t>m³</t>
  </si>
  <si>
    <t>1000 l = 1 m³</t>
  </si>
  <si>
    <t>Alexa488</t>
  </si>
  <si>
    <t>N</t>
  </si>
  <si>
    <t>c</t>
  </si>
  <si>
    <t>number/liter</t>
  </si>
  <si>
    <t>Mol/l</t>
  </si>
  <si>
    <t>mM</t>
  </si>
  <si>
    <t>µM</t>
  </si>
  <si>
    <t>nM</t>
  </si>
  <si>
    <t>Countrates A488</t>
  </si>
  <si>
    <t>Confocal volume</t>
  </si>
  <si>
    <t>Countrate background</t>
  </si>
  <si>
    <t>Literature value</t>
  </si>
  <si>
    <t>sum [kHz]</t>
  </si>
  <si>
    <t>Concentration estimation</t>
  </si>
  <si>
    <t>brightness [kHz/molecule]</t>
  </si>
  <si>
    <t>ch 0 / s [kHz]</t>
  </si>
  <si>
    <t>ch 2 / p [kHz]</t>
  </si>
  <si>
    <t>Fit result - please add!</t>
  </si>
  <si>
    <t>number</t>
  </si>
  <si>
    <t>Countrates A568</t>
  </si>
  <si>
    <t>Green crosstalk into red channel</t>
  </si>
  <si>
    <t>CR [kHz] BG</t>
  </si>
  <si>
    <t>CR [kHz] A488</t>
  </si>
  <si>
    <r>
      <t>CR</t>
    </r>
    <r>
      <rPr>
        <b/>
        <vertAlign val="subscript"/>
        <sz val="11"/>
        <color theme="1"/>
        <rFont val="Calibri"/>
        <family val="2"/>
        <scheme val="minor"/>
      </rPr>
      <t>A488</t>
    </r>
    <r>
      <rPr>
        <b/>
        <sz val="11"/>
        <color theme="1"/>
        <rFont val="Calibri"/>
        <family val="2"/>
        <scheme val="minor"/>
      </rPr>
      <t>-CR</t>
    </r>
    <r>
      <rPr>
        <b/>
        <vertAlign val="subscript"/>
        <sz val="11"/>
        <color theme="1"/>
        <rFont val="Calibri"/>
        <family val="2"/>
        <scheme val="minor"/>
      </rPr>
      <t>BG</t>
    </r>
    <r>
      <rPr>
        <b/>
        <sz val="11"/>
        <color theme="1"/>
        <rFont val="Calibri"/>
        <family val="2"/>
        <scheme val="minor"/>
      </rPr>
      <t xml:space="preserve"> [kHz]</t>
    </r>
  </si>
  <si>
    <t>CR [kHz] A568</t>
  </si>
  <si>
    <r>
      <t>CR</t>
    </r>
    <r>
      <rPr>
        <b/>
        <vertAlign val="subscript"/>
        <sz val="11"/>
        <color theme="1"/>
        <rFont val="Calibri"/>
        <family val="2"/>
        <scheme val="minor"/>
      </rPr>
      <t>A568</t>
    </r>
    <r>
      <rPr>
        <b/>
        <sz val="11"/>
        <color theme="1"/>
        <rFont val="Calibri"/>
        <family val="2"/>
        <scheme val="minor"/>
      </rPr>
      <t>-CR</t>
    </r>
    <r>
      <rPr>
        <b/>
        <vertAlign val="subscript"/>
        <sz val="11"/>
        <color theme="1"/>
        <rFont val="Calibri"/>
        <family val="2"/>
        <scheme val="minor"/>
      </rPr>
      <t>BG</t>
    </r>
    <r>
      <rPr>
        <b/>
        <sz val="11"/>
        <color theme="1"/>
        <rFont val="Calibri"/>
        <family val="2"/>
        <scheme val="minor"/>
      </rPr>
      <t xml:space="preserve"> [kHz]</t>
    </r>
  </si>
  <si>
    <t xml:space="preserve"> Duration [s]</t>
  </si>
  <si>
    <t xml:space="preserve"> CR gs [kHz]</t>
  </si>
  <si>
    <t xml:space="preserve"> CR gp [kHz]</t>
  </si>
  <si>
    <t xml:space="preserve"> CR rs(prompt) [kHz]</t>
  </si>
  <si>
    <t xml:space="preserve"> CR rp (prompt) [kHz] </t>
  </si>
  <si>
    <t xml:space="preserve"> CR rs(delay) [kHz]</t>
  </si>
  <si>
    <t xml:space="preserve"> CR rp (delay) [kHz]</t>
  </si>
  <si>
    <t>1 prompt</t>
  </si>
  <si>
    <t>3 prompt</t>
  </si>
  <si>
    <t>2 prompt</t>
  </si>
  <si>
    <t>0 prompt</t>
  </si>
  <si>
    <t>ch 0 / s [kHz] ddH2O</t>
  </si>
  <si>
    <t>ch 2 / p [kHz] ddH2O</t>
  </si>
  <si>
    <t>ch 1 / s [kHz] A488</t>
  </si>
  <si>
    <t>ch 3 / p [kHz] A488</t>
  </si>
  <si>
    <t>Countrate red channels</t>
  </si>
  <si>
    <t>ch 1 / s [kHz] ddH2O</t>
  </si>
  <si>
    <t>ch 3 / p [kHz] ddH2O</t>
  </si>
  <si>
    <t>ch 1 / s [kHz] prompt</t>
  </si>
  <si>
    <t>ch 3 / p [kHz] prompt</t>
  </si>
  <si>
    <t>ch 1 / s [kHz] delay</t>
  </si>
  <si>
    <t>ch 3 / p [kHz] delay</t>
  </si>
  <si>
    <t>1 Delay</t>
  </si>
  <si>
    <t>1 Prompt</t>
  </si>
  <si>
    <r>
      <t xml:space="preserve">spectral crosstalk [%] </t>
    </r>
    <r>
      <rPr>
        <b/>
        <sz val="11"/>
        <color theme="1"/>
        <rFont val="Calibri"/>
        <family val="2"/>
      </rPr>
      <t>α</t>
    </r>
  </si>
  <si>
    <r>
      <t xml:space="preserve">direct excitation [%] </t>
    </r>
    <r>
      <rPr>
        <b/>
        <sz val="11"/>
        <color theme="1"/>
        <rFont val="Symbol"/>
        <family val="1"/>
        <charset val="2"/>
      </rPr>
      <t>g</t>
    </r>
  </si>
  <si>
    <t>based on green /red</t>
  </si>
  <si>
    <t>c [nM]</t>
  </si>
  <si>
    <t>Green</t>
  </si>
  <si>
    <t>Red</t>
  </si>
  <si>
    <t>D [µm²/s]</t>
  </si>
  <si>
    <t>G(t,CC)</t>
  </si>
  <si>
    <t>Green - Red Crosscorrelation</t>
  </si>
  <si>
    <t>Average diffusion coefficient D [µm²/s]:</t>
  </si>
  <si>
    <t>Effective overlapping confocal volume</t>
  </si>
  <si>
    <t>cRG [nM] (g)</t>
  </si>
  <si>
    <t>cRG [nM] (r)</t>
  </si>
  <si>
    <t>AVG cRG [nM]</t>
  </si>
  <si>
    <t>Napp</t>
  </si>
  <si>
    <r>
      <t>G</t>
    </r>
    <r>
      <rPr>
        <b/>
        <vertAlign val="subscript"/>
        <sz val="11"/>
        <color rgb="FF660066"/>
        <rFont val="Calibri"/>
        <family val="2"/>
        <scheme val="minor"/>
      </rPr>
      <t>0,CCF</t>
    </r>
    <r>
      <rPr>
        <b/>
        <sz val="11"/>
        <color rgb="FF660066"/>
        <rFont val="Calibri"/>
        <family val="2"/>
        <scheme val="minor"/>
      </rPr>
      <t>/G</t>
    </r>
    <r>
      <rPr>
        <b/>
        <vertAlign val="subscript"/>
        <sz val="11"/>
        <color rgb="FF660066"/>
        <rFont val="Calibri"/>
        <family val="2"/>
        <scheme val="minor"/>
      </rPr>
      <t>0ACFred</t>
    </r>
  </si>
  <si>
    <r>
      <t>G</t>
    </r>
    <r>
      <rPr>
        <b/>
        <vertAlign val="subscript"/>
        <sz val="11"/>
        <color rgb="FF006100"/>
        <rFont val="Calibri"/>
        <family val="2"/>
        <scheme val="minor"/>
      </rPr>
      <t>0,CCF</t>
    </r>
    <r>
      <rPr>
        <b/>
        <sz val="11"/>
        <color rgb="FF006100"/>
        <rFont val="Calibri"/>
        <family val="2"/>
        <scheme val="minor"/>
      </rPr>
      <t>/G</t>
    </r>
    <r>
      <rPr>
        <b/>
        <vertAlign val="subscript"/>
        <sz val="11"/>
        <color rgb="FF006100"/>
        <rFont val="Calibri"/>
        <family val="2"/>
        <scheme val="minor"/>
      </rPr>
      <t>0ACFgreen</t>
    </r>
  </si>
  <si>
    <t>3 Delay</t>
  </si>
  <si>
    <t>3 Prompt</t>
  </si>
  <si>
    <r>
      <t xml:space="preserve">Direct excitation of A568 by </t>
    </r>
    <r>
      <rPr>
        <b/>
        <sz val="12"/>
        <rFont val="Calibri"/>
        <family val="2"/>
        <scheme val="minor"/>
      </rPr>
      <t>488-laser line</t>
    </r>
  </si>
  <si>
    <t>td [µs]</t>
  </si>
  <si>
    <t>a488 2nM_06.ptu</t>
  </si>
  <si>
    <t>a568_2 nM_05.ptu</t>
  </si>
  <si>
    <t>DD_H2O_02.ptu</t>
  </si>
  <si>
    <t>DNA a488 568 10nM_03.ptu</t>
  </si>
  <si>
    <t>EB_01.ptu</t>
  </si>
  <si>
    <t>Filename</t>
  </si>
  <si>
    <r>
      <t>pi</t>
    </r>
    <r>
      <rPr>
        <b/>
        <vertAlign val="superscript"/>
        <sz val="11"/>
        <color theme="1"/>
        <rFont val="Calibri"/>
        <family val="2"/>
        <scheme val="minor"/>
      </rPr>
      <t>^(3/2)</t>
    </r>
  </si>
  <si>
    <r>
      <t>z</t>
    </r>
    <r>
      <rPr>
        <b/>
        <vertAlign val="subscript"/>
        <sz val="11"/>
        <color rgb="FFFA7D00"/>
        <rFont val="Calibri"/>
        <family val="2"/>
        <scheme val="minor"/>
      </rPr>
      <t>0</t>
    </r>
  </si>
  <si>
    <r>
      <t>w</t>
    </r>
    <r>
      <rPr>
        <b/>
        <vertAlign val="subscript"/>
        <sz val="11"/>
        <color rgb="FFFA7D00"/>
        <rFont val="Calibri"/>
        <family val="2"/>
        <scheme val="minor"/>
      </rPr>
      <t>0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</si>
  <si>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</si>
  <si>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  <scheme val="minor"/>
      </rPr>
      <t>t</t>
    </r>
    <r>
      <rPr>
        <b/>
        <vertAlign val="subscript"/>
        <sz val="11"/>
        <color theme="1"/>
        <rFont val="Calibri"/>
        <family val="2"/>
        <scheme val="minor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</si>
</sst>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660066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660066"/>
      <name val="Calibri"/>
      <family val="2"/>
      <scheme val="minor"/>
    </font>
    <font>
      <b/>
      <vertAlign val="subscript"/>
      <sz val="11"/>
      <color rgb="FF660066"/>
      <name val="Calibri"/>
      <family val="2"/>
      <scheme val="minor"/>
    </font>
    <font>
      <b/>
      <vertAlign val="subscript"/>
      <sz val="11"/>
      <color rgb="FF006100"/>
      <name val="Calibri"/>
      <family val="2"/>
      <scheme val="minor"/>
    </font>
    <font>
      <b/>
      <sz val="12"/>
      <color rgb="FF66006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rgb="FFFA7D00"/>
      <name val="Calibri"/>
      <family val="2"/>
      <scheme val="minor"/>
    </font>
    <font>
      <b/>
      <sz val="12"/>
      <color theme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99FF"/>
        <bgColor indexed="64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5" fillId="4" borderId="1" applyNumberFormat="0" applyAlignment="0" applyProtection="0"/>
    <xf numFmtId="0" fontId="11" fillId="6" borderId="0" applyNumberFormat="0" applyBorder="0" applyAlignment="0" applyProtection="0"/>
  </cellStyleXfs>
  <cellXfs count="10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13" fillId="2" borderId="2" xfId="1" applyFont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3" fillId="2" borderId="2" xfId="1" applyFont="1" applyBorder="1"/>
    <xf numFmtId="0" fontId="14" fillId="5" borderId="2" xfId="0" applyFont="1" applyFill="1" applyBorder="1"/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0" xfId="0" applyFill="1"/>
    <xf numFmtId="2" fontId="0" fillId="7" borderId="0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2" fontId="0" fillId="0" borderId="7" xfId="0" applyNumberFormat="1" applyBorder="1" applyAlignment="1">
      <alignment horizontal="center"/>
    </xf>
    <xf numFmtId="0" fontId="2" fillId="0" borderId="11" xfId="0" applyFont="1" applyBorder="1"/>
    <xf numFmtId="2" fontId="21" fillId="0" borderId="12" xfId="0" applyNumberFormat="1" applyFont="1" applyBorder="1" applyAlignment="1">
      <alignment horizontal="center"/>
    </xf>
    <xf numFmtId="2" fontId="19" fillId="2" borderId="12" xfId="1" applyNumberFormat="1" applyFont="1" applyBorder="1" applyAlignment="1">
      <alignment horizontal="center"/>
    </xf>
    <xf numFmtId="2" fontId="17" fillId="5" borderId="12" xfId="0" applyNumberFormat="1" applyFont="1" applyFill="1" applyBorder="1" applyAlignment="1">
      <alignment horizontal="center"/>
    </xf>
    <xf numFmtId="2" fontId="17" fillId="5" borderId="13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14" xfId="0" applyFont="1" applyBorder="1"/>
    <xf numFmtId="2" fontId="0" fillId="0" borderId="14" xfId="0" applyNumberFormat="1" applyBorder="1" applyAlignment="1">
      <alignment horizontal="center"/>
    </xf>
    <xf numFmtId="0" fontId="4" fillId="3" borderId="1" xfId="2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5" fillId="4" borderId="1" xfId="3" applyNumberFormat="1" applyBorder="1" applyAlignment="1">
      <alignment horizontal="center"/>
    </xf>
    <xf numFmtId="0" fontId="5" fillId="4" borderId="1" xfId="3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4" fillId="3" borderId="1" xfId="2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0" fillId="0" borderId="7" xfId="0" applyNumberFormat="1" applyBorder="1" applyAlignment="1">
      <alignment horizontal="center"/>
    </xf>
    <xf numFmtId="2" fontId="5" fillId="4" borderId="17" xfId="3" applyNumberFormat="1" applyBorder="1" applyAlignment="1">
      <alignment horizontal="center"/>
    </xf>
    <xf numFmtId="0" fontId="5" fillId="4" borderId="17" xfId="3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2" borderId="19" xfId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2" fontId="4" fillId="3" borderId="20" xfId="2" applyNumberForma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20" fillId="0" borderId="4" xfId="0" applyFont="1" applyBorder="1"/>
    <xf numFmtId="0" fontId="0" fillId="0" borderId="18" xfId="0" applyBorder="1" applyAlignment="1">
      <alignment horizontal="center"/>
    </xf>
    <xf numFmtId="2" fontId="5" fillId="4" borderId="1" xfId="3" applyNumberFormat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164" fontId="5" fillId="4" borderId="17" xfId="3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6" fillId="0" borderId="0" xfId="0" applyFont="1" applyBorder="1" applyAlignment="1">
      <alignment horizontal="center"/>
    </xf>
    <xf numFmtId="0" fontId="19" fillId="2" borderId="3" xfId="1" applyFont="1" applyBorder="1" applyAlignment="1">
      <alignment horizontal="center"/>
    </xf>
    <xf numFmtId="0" fontId="19" fillId="2" borderId="4" xfId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4" borderId="15" xfId="3" applyBorder="1" applyAlignment="1">
      <alignment horizontal="center" vertical="center"/>
    </xf>
    <xf numFmtId="0" fontId="19" fillId="2" borderId="6" xfId="1" applyFont="1" applyBorder="1" applyAlignment="1">
      <alignment horizontal="center"/>
    </xf>
    <xf numFmtId="0" fontId="19" fillId="2" borderId="0" xfId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4" borderId="1" xfId="3" applyBorder="1" applyAlignment="1">
      <alignment horizontal="center" vertical="center"/>
    </xf>
    <xf numFmtId="0" fontId="5" fillId="4" borderId="17" xfId="3" applyBorder="1" applyAlignment="1">
      <alignment horizontal="center" vertical="center"/>
    </xf>
    <xf numFmtId="0" fontId="17" fillId="5" borderId="4" xfId="1" applyFont="1" applyFill="1" applyBorder="1" applyAlignment="1">
      <alignment horizontal="center"/>
    </xf>
    <xf numFmtId="0" fontId="17" fillId="5" borderId="5" xfId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7" fillId="5" borderId="6" xfId="1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/>
    </xf>
    <xf numFmtId="0" fontId="5" fillId="4" borderId="25" xfId="3" applyBorder="1" applyAlignment="1">
      <alignment horizontal="center" vertical="center"/>
    </xf>
    <xf numFmtId="0" fontId="5" fillId="4" borderId="26" xfId="3" applyBorder="1" applyAlignment="1">
      <alignment horizontal="center" vertical="center"/>
    </xf>
    <xf numFmtId="0" fontId="17" fillId="5" borderId="7" xfId="1" applyFont="1" applyFill="1" applyBorder="1" applyAlignment="1">
      <alignment horizontal="center"/>
    </xf>
    <xf numFmtId="0" fontId="19" fillId="2" borderId="5" xfId="1" applyFont="1" applyBorder="1" applyAlignment="1">
      <alignment horizontal="center"/>
    </xf>
    <xf numFmtId="0" fontId="17" fillId="5" borderId="10" xfId="1" applyFont="1" applyFill="1" applyBorder="1" applyAlignment="1">
      <alignment horizontal="center"/>
    </xf>
    <xf numFmtId="0" fontId="19" fillId="2" borderId="7" xfId="1" applyFont="1" applyBorder="1" applyAlignment="1">
      <alignment horizontal="center"/>
    </xf>
    <xf numFmtId="0" fontId="17" fillId="5" borderId="3" xfId="1" applyFont="1" applyFill="1" applyBorder="1" applyAlignment="1">
      <alignment horizontal="center"/>
    </xf>
    <xf numFmtId="0" fontId="19" fillId="2" borderId="23" xfId="1" applyFont="1" applyBorder="1" applyAlignment="1">
      <alignment horizontal="center"/>
    </xf>
    <xf numFmtId="0" fontId="17" fillId="5" borderId="23" xfId="0" applyFont="1" applyFill="1" applyBorder="1" applyAlignment="1">
      <alignment horizontal="center"/>
    </xf>
    <xf numFmtId="0" fontId="17" fillId="5" borderId="24" xfId="0" applyFont="1" applyFill="1" applyBorder="1" applyAlignment="1">
      <alignment horizontal="center"/>
    </xf>
    <xf numFmtId="0" fontId="5" fillId="4" borderId="16" xfId="3" applyBorder="1" applyAlignment="1">
      <alignment horizontal="center" vertical="center"/>
    </xf>
    <xf numFmtId="0" fontId="5" fillId="4" borderId="1" xfId="3" applyBorder="1" applyAlignment="1">
      <alignment horizontal="center"/>
    </xf>
    <xf numFmtId="0" fontId="24" fillId="8" borderId="10" xfId="4" applyFont="1" applyFill="1" applyBorder="1" applyAlignment="1">
      <alignment horizontal="center"/>
    </xf>
    <xf numFmtId="0" fontId="24" fillId="8" borderId="3" xfId="4" applyFont="1" applyFill="1" applyBorder="1" applyAlignment="1">
      <alignment horizontal="center"/>
    </xf>
    <xf numFmtId="0" fontId="24" fillId="8" borderId="4" xfId="4" applyFont="1" applyFill="1" applyBorder="1" applyAlignment="1">
      <alignment horizontal="center"/>
    </xf>
  </cellXfs>
  <cellStyles count="5">
    <cellStyle name="Calculation" xfId="3" builtinId="22"/>
    <cellStyle name="Good" xfId="1" builtinId="26"/>
    <cellStyle name="Input" xfId="2" builtinId="20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660066"/>
      <color rgb="FFFF99FF"/>
      <color rgb="FFB5DFC8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43</xdr:row>
      <xdr:rowOff>76200</xdr:rowOff>
    </xdr:from>
    <xdr:ext cx="1757661" cy="3991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3">
              <a:extLst>
                <a:ext uri="{FF2B5EF4-FFF2-40B4-BE49-F238E27FC236}">
                  <a16:creationId xmlns:a16="http://schemas.microsoft.com/office/drawing/2014/main" id="{D53C3C11-6072-4A24-883F-1A520C7967D5}"/>
                </a:ext>
              </a:extLst>
            </xdr:cNvPr>
            <xdr:cNvSpPr txBox="1"/>
          </xdr:nvSpPr>
          <xdr:spPr>
            <a:xfrm>
              <a:off x="6905625" y="8467725"/>
              <a:ext cx="1757661" cy="399148"/>
            </a:xfrm>
            <a:prstGeom prst="rect">
              <a:avLst/>
            </a:prstGeom>
            <a:solidFill>
              <a:srgbClr val="B5DFC8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𝑅𝐺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0,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𝐶𝐶𝐹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0,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𝐴𝐶𝐹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𝑔𝑟𝑒𝑒𝑛</m:t>
                            </m:r>
                          </m:sub>
                        </m:sSub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𝑔𝑟𝑒𝑒𝑛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feld 3">
              <a:extLst>
                <a:ext uri="{FF2B5EF4-FFF2-40B4-BE49-F238E27FC236}">
                  <a16:creationId xmlns:a16="http://schemas.microsoft.com/office/drawing/2014/main" id="{D53C3C11-6072-4A24-883F-1A520C7967D5}"/>
                </a:ext>
              </a:extLst>
            </xdr:cNvPr>
            <xdr:cNvSpPr txBox="1"/>
          </xdr:nvSpPr>
          <xdr:spPr>
            <a:xfrm>
              <a:off x="6905625" y="8467725"/>
              <a:ext cx="1757661" cy="399148"/>
            </a:xfrm>
            <a:prstGeom prst="rect">
              <a:avLst/>
            </a:prstGeom>
            <a:solidFill>
              <a:srgbClr val="B5DFC8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𝑐_𝑅𝐺=𝐺_(0,𝐶𝐶𝐹)/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𝐺_(0,𝐴𝐶𝐹,𝑔𝑟𝑒𝑒𝑛) </a:t>
              </a:r>
              <a:r>
                <a:rPr lang="en-US" sz="1200" b="0" i="0">
                  <a:latin typeface="Cambria Math" panose="02040503050406030204" pitchFamily="18" charset="0"/>
                </a:rPr>
                <a:t>∗𝑐_𝑔𝑟𝑒𝑒𝑛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12</xdr:col>
      <xdr:colOff>323850</xdr:colOff>
      <xdr:row>43</xdr:row>
      <xdr:rowOff>38100</xdr:rowOff>
    </xdr:from>
    <xdr:ext cx="1468222" cy="3922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4">
              <a:extLst>
                <a:ext uri="{FF2B5EF4-FFF2-40B4-BE49-F238E27FC236}">
                  <a16:creationId xmlns:a16="http://schemas.microsoft.com/office/drawing/2014/main" id="{D3C24EB9-C6EC-4BC4-BD73-0DD9A2DF258B}"/>
                </a:ext>
              </a:extLst>
            </xdr:cNvPr>
            <xdr:cNvSpPr txBox="1"/>
          </xdr:nvSpPr>
          <xdr:spPr>
            <a:xfrm>
              <a:off x="9001125" y="8429625"/>
              <a:ext cx="1468222" cy="392287"/>
            </a:xfrm>
            <a:prstGeom prst="rect">
              <a:avLst/>
            </a:prstGeom>
            <a:solidFill>
              <a:srgbClr val="FF99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𝑅𝐺</m:t>
                        </m:r>
                      </m:sub>
                    </m:sSub>
                    <m:r>
                      <a:rPr lang="en-US" sz="12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0,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𝐶𝐶𝐹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0,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𝐴𝐶𝐹𝑟𝑒𝑑</m:t>
                            </m:r>
                          </m:sub>
                        </m:sSub>
                      </m:den>
                    </m:f>
                    <m:r>
                      <a:rPr lang="en-US" sz="1200" b="0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𝑟𝑒𝑑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" name="Textfeld 4">
              <a:extLst>
                <a:ext uri="{FF2B5EF4-FFF2-40B4-BE49-F238E27FC236}">
                  <a16:creationId xmlns:a16="http://schemas.microsoft.com/office/drawing/2014/main" id="{D3C24EB9-C6EC-4BC4-BD73-0DD9A2DF258B}"/>
                </a:ext>
              </a:extLst>
            </xdr:cNvPr>
            <xdr:cNvSpPr txBox="1"/>
          </xdr:nvSpPr>
          <xdr:spPr>
            <a:xfrm>
              <a:off x="9001125" y="8429625"/>
              <a:ext cx="1468222" cy="392287"/>
            </a:xfrm>
            <a:prstGeom prst="rect">
              <a:avLst/>
            </a:prstGeom>
            <a:solidFill>
              <a:srgbClr val="FF99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𝑐_𝑅𝐺=𝐺_(0,𝐶𝐶𝐹)/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𝐺_(0,𝐴𝐶𝐹𝑟𝑒𝑑) </a:t>
              </a:r>
              <a:r>
                <a:rPr lang="en-US" sz="1200" b="0" i="0">
                  <a:latin typeface="Cambria Math" panose="02040503050406030204" pitchFamily="18" charset="0"/>
                </a:rPr>
                <a:t>∗𝑐_𝑟𝑒𝑑</a:t>
              </a:r>
              <a:endParaRPr lang="en-US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6"/>
  <sheetViews>
    <sheetView tabSelected="1" zoomScale="140" zoomScaleNormal="140" workbookViewId="0">
      <selection activeCell="N28" sqref="N28"/>
    </sheetView>
  </sheetViews>
  <sheetFormatPr defaultColWidth="11.42578125" defaultRowHeight="15" x14ac:dyDescent="0.25"/>
  <cols>
    <col min="1" max="1" width="26.5703125" bestFit="1" customWidth="1"/>
    <col min="2" max="2" width="13.42578125" style="1" bestFit="1" customWidth="1"/>
    <col min="3" max="4" width="11.42578125" style="1"/>
    <col min="5" max="5" width="21.28515625" style="1" bestFit="1" customWidth="1"/>
    <col min="6" max="6" width="22.7109375" style="1" bestFit="1" customWidth="1"/>
    <col min="7" max="7" width="18.85546875" style="1" bestFit="1" customWidth="1"/>
    <col min="8" max="8" width="19.85546875" style="1" bestFit="1" customWidth="1"/>
  </cols>
  <sheetData>
    <row r="1" spans="1:8" ht="16.5" thickBot="1" x14ac:dyDescent="0.3">
      <c r="A1" s="21" t="s">
        <v>88</v>
      </c>
      <c r="B1" s="22" t="s">
        <v>38</v>
      </c>
      <c r="C1" s="23" t="s">
        <v>39</v>
      </c>
      <c r="D1" s="23" t="s">
        <v>40</v>
      </c>
      <c r="E1" s="24" t="s">
        <v>41</v>
      </c>
      <c r="F1" s="24" t="s">
        <v>42</v>
      </c>
      <c r="G1" s="24" t="s">
        <v>43</v>
      </c>
      <c r="H1" s="25" t="s">
        <v>44</v>
      </c>
    </row>
    <row r="2" spans="1:8" x14ac:dyDescent="0.25">
      <c r="A2" s="27" t="s">
        <v>83</v>
      </c>
      <c r="B2" s="28">
        <v>300</v>
      </c>
      <c r="C2" s="28">
        <v>5.3496133333333296</v>
      </c>
      <c r="D2" s="28">
        <v>5.4311333333333298</v>
      </c>
      <c r="E2" s="28">
        <v>1.2308366666666599</v>
      </c>
      <c r="F2" s="28">
        <v>1.52569666666666</v>
      </c>
      <c r="G2" s="28">
        <v>0.412333333333333</v>
      </c>
      <c r="H2" s="28">
        <v>0.70913000000000004</v>
      </c>
    </row>
    <row r="3" spans="1:8" x14ac:dyDescent="0.25">
      <c r="A3" s="26" t="s">
        <v>84</v>
      </c>
      <c r="B3" s="4">
        <v>300</v>
      </c>
      <c r="C3" s="4">
        <v>0.30568333333333297</v>
      </c>
      <c r="D3" s="4">
        <v>0.40377333333333298</v>
      </c>
      <c r="E3" s="4">
        <v>1.8278033333333299</v>
      </c>
      <c r="F3" s="4">
        <v>2.2928899999999999</v>
      </c>
      <c r="G3" s="4">
        <v>4.0996899999999998</v>
      </c>
      <c r="H3" s="4">
        <v>4.6598100000000002</v>
      </c>
    </row>
    <row r="4" spans="1:8" x14ac:dyDescent="0.25">
      <c r="A4" s="26" t="s">
        <v>85</v>
      </c>
      <c r="B4" s="4">
        <v>300</v>
      </c>
      <c r="C4" s="4">
        <v>0.12617666666666599</v>
      </c>
      <c r="D4" s="4">
        <v>0.22989333333333301</v>
      </c>
      <c r="E4" s="4">
        <v>0.44039</v>
      </c>
      <c r="F4" s="4">
        <v>0.78901666666666603</v>
      </c>
      <c r="G4" s="4">
        <v>0.359053333333333</v>
      </c>
      <c r="H4" s="4">
        <v>0.68702999999999903</v>
      </c>
    </row>
    <row r="5" spans="1:8" x14ac:dyDescent="0.25">
      <c r="A5" s="26" t="s">
        <v>86</v>
      </c>
      <c r="B5" s="4">
        <v>300</v>
      </c>
      <c r="C5" s="4">
        <v>41.577860000000001</v>
      </c>
      <c r="D5" s="4">
        <v>43.282463333333297</v>
      </c>
      <c r="E5" s="4">
        <v>8.9822166666666607</v>
      </c>
      <c r="F5" s="4">
        <v>10.523009999999999</v>
      </c>
      <c r="G5" s="4">
        <v>7.4089133333333299</v>
      </c>
      <c r="H5" s="4">
        <v>11.636856666666599</v>
      </c>
    </row>
    <row r="6" spans="1:8" x14ac:dyDescent="0.25">
      <c r="A6" s="26" t="s">
        <v>87</v>
      </c>
      <c r="B6" s="4">
        <v>60</v>
      </c>
      <c r="C6" s="4">
        <v>14.506</v>
      </c>
      <c r="D6" s="4">
        <v>22.546766666666599</v>
      </c>
      <c r="E6" s="4">
        <v>12.4803833333333</v>
      </c>
      <c r="F6" s="4">
        <v>19.768549999999902</v>
      </c>
      <c r="G6" s="4">
        <v>0.58046666666666602</v>
      </c>
      <c r="H6" s="4">
        <v>1.0987833333333299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selection activeCell="G55" sqref="G55"/>
    </sheetView>
  </sheetViews>
  <sheetFormatPr defaultColWidth="9.140625" defaultRowHeight="15" x14ac:dyDescent="0.25"/>
  <cols>
    <col min="4" max="4" width="12.5703125" bestFit="1" customWidth="1"/>
    <col min="5" max="5" width="11.7109375" bestFit="1" customWidth="1"/>
    <col min="9" max="9" width="12.5703125" bestFit="1" customWidth="1"/>
    <col min="10" max="10" width="11.7109375" bestFit="1" customWidth="1"/>
    <col min="11" max="11" width="12.140625" bestFit="1" customWidth="1"/>
    <col min="12" max="12" width="14.5703125" bestFit="1" customWidth="1"/>
    <col min="13" max="13" width="11.85546875" bestFit="1" customWidth="1"/>
    <col min="14" max="14" width="18.7109375" bestFit="1" customWidth="1"/>
    <col min="15" max="15" width="19" bestFit="1" customWidth="1"/>
    <col min="16" max="16" width="19.28515625" bestFit="1" customWidth="1"/>
    <col min="17" max="17" width="19.5703125" bestFit="1" customWidth="1"/>
    <col min="18" max="18" width="24.85546875" bestFit="1" customWidth="1"/>
  </cols>
  <sheetData>
    <row r="1" spans="2:18" ht="15.75" thickBot="1" x14ac:dyDescent="0.3"/>
    <row r="2" spans="2:18" ht="15.75" x14ac:dyDescent="0.25">
      <c r="B2" s="70" t="s">
        <v>21</v>
      </c>
      <c r="C2" s="71"/>
      <c r="D2" s="71"/>
      <c r="E2" s="71"/>
      <c r="F2" s="71"/>
      <c r="G2" s="80" t="s">
        <v>21</v>
      </c>
      <c r="H2" s="80"/>
      <c r="I2" s="80"/>
      <c r="J2" s="80"/>
      <c r="K2" s="81"/>
      <c r="M2" s="70" t="s">
        <v>20</v>
      </c>
      <c r="N2" s="71"/>
      <c r="O2" s="71"/>
      <c r="P2" s="71"/>
      <c r="Q2" s="71"/>
      <c r="R2" s="89"/>
    </row>
    <row r="3" spans="2:18" x14ac:dyDescent="0.25">
      <c r="B3" s="72" t="s">
        <v>0</v>
      </c>
      <c r="C3" s="29">
        <v>414</v>
      </c>
      <c r="D3" s="29" t="s">
        <v>2</v>
      </c>
      <c r="E3" s="69" t="s">
        <v>23</v>
      </c>
      <c r="F3" s="69"/>
      <c r="G3" s="82" t="s">
        <v>0</v>
      </c>
      <c r="H3" s="29">
        <v>350</v>
      </c>
      <c r="I3" s="29" t="s">
        <v>2</v>
      </c>
      <c r="J3" s="69" t="s">
        <v>23</v>
      </c>
      <c r="K3" s="77"/>
      <c r="M3" s="38"/>
      <c r="N3" s="6" t="s">
        <v>27</v>
      </c>
      <c r="O3" s="6" t="s">
        <v>28</v>
      </c>
      <c r="P3" s="6" t="s">
        <v>24</v>
      </c>
      <c r="Q3" s="6" t="s">
        <v>13</v>
      </c>
      <c r="R3" s="50" t="s">
        <v>26</v>
      </c>
    </row>
    <row r="4" spans="2:18" x14ac:dyDescent="0.25">
      <c r="B4" s="72"/>
      <c r="C4" s="16">
        <f>C3*0.000000000001</f>
        <v>4.1399999999999997E-10</v>
      </c>
      <c r="D4" s="16" t="s">
        <v>3</v>
      </c>
      <c r="E4" s="16"/>
      <c r="F4" s="16"/>
      <c r="G4" s="82"/>
      <c r="H4" s="16">
        <f>H3*0.000000000001</f>
        <v>3.4999999999999998E-10</v>
      </c>
      <c r="I4" s="16" t="s">
        <v>3</v>
      </c>
      <c r="J4" s="16"/>
      <c r="K4" s="30"/>
      <c r="M4" s="8"/>
      <c r="N4" s="4">
        <v>5.3496133333333296</v>
      </c>
      <c r="O4" s="4">
        <v>5.4311333333333298</v>
      </c>
      <c r="P4" s="4">
        <f>SUM(N4:O4)</f>
        <v>10.780746666666658</v>
      </c>
      <c r="Q4" s="7">
        <v>0.76</v>
      </c>
      <c r="R4" s="51">
        <f>(P4-P8)/Q4</f>
        <v>12.565671052631577</v>
      </c>
    </row>
    <row r="5" spans="2:18" ht="15" customHeight="1" x14ac:dyDescent="0.25">
      <c r="B5" s="73" t="s">
        <v>93</v>
      </c>
      <c r="C5" s="29">
        <v>76</v>
      </c>
      <c r="D5" s="29" t="s">
        <v>4</v>
      </c>
      <c r="E5" s="69" t="s">
        <v>29</v>
      </c>
      <c r="F5" s="69"/>
      <c r="G5" s="83" t="s">
        <v>93</v>
      </c>
      <c r="H5" s="29">
        <v>117</v>
      </c>
      <c r="I5" s="29" t="s">
        <v>4</v>
      </c>
      <c r="J5" s="69" t="s">
        <v>29</v>
      </c>
      <c r="K5" s="77"/>
      <c r="M5" s="8"/>
      <c r="N5" s="14"/>
      <c r="O5" s="14"/>
      <c r="P5" s="14"/>
      <c r="Q5" s="15"/>
      <c r="R5" s="20"/>
    </row>
    <row r="6" spans="2:18" ht="15.75" customHeight="1" x14ac:dyDescent="0.25">
      <c r="B6" s="73"/>
      <c r="C6" s="16">
        <f>C5*0.000001</f>
        <v>7.5999999999999991E-5</v>
      </c>
      <c r="D6" s="16" t="s">
        <v>1</v>
      </c>
      <c r="E6" s="16"/>
      <c r="F6" s="16"/>
      <c r="G6" s="83"/>
      <c r="H6" s="16">
        <f>H5*0.000001</f>
        <v>1.17E-4</v>
      </c>
      <c r="I6" s="16" t="s">
        <v>1</v>
      </c>
      <c r="J6" s="16"/>
      <c r="K6" s="30"/>
      <c r="M6" s="75" t="s">
        <v>22</v>
      </c>
      <c r="N6" s="76"/>
      <c r="O6" s="76"/>
      <c r="P6" s="90" t="s">
        <v>53</v>
      </c>
      <c r="Q6" s="90"/>
      <c r="R6" s="20"/>
    </row>
    <row r="7" spans="2:18" x14ac:dyDescent="0.25">
      <c r="B7" s="31" t="s">
        <v>1</v>
      </c>
      <c r="C7" s="29">
        <v>7.75</v>
      </c>
      <c r="D7" s="29"/>
      <c r="E7" s="69" t="s">
        <v>29</v>
      </c>
      <c r="F7" s="69"/>
      <c r="G7" s="32" t="s">
        <v>1</v>
      </c>
      <c r="H7" s="29">
        <v>3.63</v>
      </c>
      <c r="I7" s="29"/>
      <c r="J7" s="69" t="s">
        <v>29</v>
      </c>
      <c r="K7" s="77"/>
      <c r="M7" s="52"/>
      <c r="N7" s="6" t="s">
        <v>49</v>
      </c>
      <c r="O7" s="6" t="s">
        <v>50</v>
      </c>
      <c r="P7" s="6" t="s">
        <v>51</v>
      </c>
      <c r="Q7" s="6" t="s">
        <v>52</v>
      </c>
      <c r="R7" s="20"/>
    </row>
    <row r="8" spans="2:18" x14ac:dyDescent="0.25">
      <c r="B8" s="31"/>
      <c r="C8" s="16"/>
      <c r="D8" s="16"/>
      <c r="E8" s="16"/>
      <c r="F8" s="16"/>
      <c r="G8" s="32"/>
      <c r="H8" s="16"/>
      <c r="I8" s="16"/>
      <c r="J8" s="16"/>
      <c r="K8" s="30"/>
      <c r="M8" s="8"/>
      <c r="N8" s="4">
        <v>0.12617666666666599</v>
      </c>
      <c r="O8" s="4">
        <v>0.22989333333333301</v>
      </c>
      <c r="P8" s="4">
        <v>1.2308366666666599</v>
      </c>
      <c r="Q8" s="4">
        <v>1.52569666666666</v>
      </c>
      <c r="R8" s="20"/>
    </row>
    <row r="9" spans="2:18" ht="18" x14ac:dyDescent="0.25">
      <c r="B9" s="31" t="s">
        <v>92</v>
      </c>
      <c r="C9" s="16">
        <f>4*C6*C4</f>
        <v>1.2585599999999997E-13</v>
      </c>
      <c r="D9" s="16"/>
      <c r="E9" s="16"/>
      <c r="F9" s="16"/>
      <c r="G9" s="32" t="s">
        <v>92</v>
      </c>
      <c r="H9" s="16">
        <f>4*H6*H4</f>
        <v>1.6379999999999999E-13</v>
      </c>
      <c r="I9" s="16"/>
      <c r="J9" s="16"/>
      <c r="K9" s="30"/>
      <c r="M9" s="8"/>
      <c r="N9" s="16"/>
      <c r="O9" s="16"/>
      <c r="P9" s="16"/>
      <c r="Q9" s="16"/>
      <c r="R9" s="30"/>
    </row>
    <row r="10" spans="2:18" ht="15.75" customHeight="1" x14ac:dyDescent="0.25">
      <c r="B10" s="74" t="s">
        <v>91</v>
      </c>
      <c r="C10" s="16">
        <f>SQRT(C9)</f>
        <v>3.5476189197826753E-7</v>
      </c>
      <c r="D10" s="16" t="s">
        <v>5</v>
      </c>
      <c r="E10" s="16"/>
      <c r="F10" s="16"/>
      <c r="G10" s="86" t="s">
        <v>91</v>
      </c>
      <c r="H10" s="16">
        <f>SQRT(H9)</f>
        <v>4.0472212689696122E-7</v>
      </c>
      <c r="I10" s="16" t="s">
        <v>5</v>
      </c>
      <c r="J10" s="16"/>
      <c r="K10" s="30"/>
      <c r="M10" s="75" t="s">
        <v>32</v>
      </c>
      <c r="N10" s="76"/>
      <c r="O10" s="76"/>
      <c r="P10" s="76"/>
      <c r="Q10" s="76"/>
      <c r="R10" s="91"/>
    </row>
    <row r="11" spans="2:18" ht="18" x14ac:dyDescent="0.35">
      <c r="B11" s="74"/>
      <c r="C11" s="33">
        <f>C10*1000000</f>
        <v>0.35476189197826752</v>
      </c>
      <c r="D11" s="34" t="s">
        <v>6</v>
      </c>
      <c r="E11" s="16"/>
      <c r="F11" s="16"/>
      <c r="G11" s="87"/>
      <c r="H11" s="33">
        <f>H10*1000000</f>
        <v>0.40472212689696124</v>
      </c>
      <c r="I11" s="34" t="s">
        <v>6</v>
      </c>
      <c r="J11" s="16"/>
      <c r="K11" s="30"/>
      <c r="M11" s="38"/>
      <c r="N11" s="6" t="s">
        <v>34</v>
      </c>
      <c r="O11" s="6" t="s">
        <v>33</v>
      </c>
      <c r="P11" s="6" t="s">
        <v>35</v>
      </c>
      <c r="Q11" s="16"/>
      <c r="R11" s="30"/>
    </row>
    <row r="12" spans="2:18" ht="15" customHeight="1" x14ac:dyDescent="0.25">
      <c r="B12" s="74" t="s">
        <v>90</v>
      </c>
      <c r="C12" s="16">
        <f>C7*C10</f>
        <v>2.7494046628315734E-6</v>
      </c>
      <c r="D12" s="16" t="s">
        <v>5</v>
      </c>
      <c r="E12" s="16"/>
      <c r="F12" s="16"/>
      <c r="G12" s="86" t="s">
        <v>90</v>
      </c>
      <c r="H12" s="16">
        <f>H7*H10</f>
        <v>1.4691413206359693E-6</v>
      </c>
      <c r="I12" s="16" t="s">
        <v>5</v>
      </c>
      <c r="J12" s="16"/>
      <c r="K12" s="30"/>
      <c r="M12" s="53" t="s">
        <v>48</v>
      </c>
      <c r="N12" s="4">
        <f>N4</f>
        <v>5.3496133333333296</v>
      </c>
      <c r="O12" s="4">
        <f>N8</f>
        <v>0.12617666666666599</v>
      </c>
      <c r="P12" s="4">
        <f>N12-O12</f>
        <v>5.2234366666666636</v>
      </c>
      <c r="Q12" s="16"/>
      <c r="R12" s="54" t="s">
        <v>62</v>
      </c>
    </row>
    <row r="13" spans="2:18" x14ac:dyDescent="0.25">
      <c r="B13" s="74"/>
      <c r="C13" s="33">
        <f>C11*C7</f>
        <v>2.7494046628315734</v>
      </c>
      <c r="D13" s="34" t="s">
        <v>6</v>
      </c>
      <c r="E13" s="16"/>
      <c r="F13" s="16"/>
      <c r="G13" s="87"/>
      <c r="H13" s="33">
        <f>H11*H7</f>
        <v>1.4691413206359694</v>
      </c>
      <c r="I13" s="34" t="s">
        <v>6</v>
      </c>
      <c r="J13" s="16"/>
      <c r="K13" s="30"/>
      <c r="M13" s="55" t="s">
        <v>45</v>
      </c>
      <c r="N13" s="4">
        <f>P8</f>
        <v>1.2308366666666599</v>
      </c>
      <c r="O13" s="4">
        <f>N23</f>
        <v>0.44039</v>
      </c>
      <c r="P13" s="4">
        <f t="shared" ref="P13:P15" si="0">N13-O13</f>
        <v>0.79044666666665986</v>
      </c>
      <c r="Q13" s="16"/>
      <c r="R13" s="56">
        <f>((P13+P15)/(P12+P14))*100</f>
        <v>14.649151388548148</v>
      </c>
    </row>
    <row r="14" spans="2:18" x14ac:dyDescent="0.25">
      <c r="B14" s="31"/>
      <c r="C14" s="35"/>
      <c r="D14" s="16"/>
      <c r="E14" s="16"/>
      <c r="F14" s="16"/>
      <c r="G14" s="32"/>
      <c r="H14" s="35"/>
      <c r="I14" s="16"/>
      <c r="J14" s="16"/>
      <c r="K14" s="30"/>
      <c r="M14" s="53" t="s">
        <v>47</v>
      </c>
      <c r="N14" s="4">
        <f>O4</f>
        <v>5.4311333333333298</v>
      </c>
      <c r="O14" s="4">
        <f>O8</f>
        <v>0.22989333333333301</v>
      </c>
      <c r="P14" s="4">
        <f t="shared" si="0"/>
        <v>5.2012399999999968</v>
      </c>
      <c r="Q14" s="16"/>
      <c r="R14" s="30"/>
    </row>
    <row r="15" spans="2:18" ht="18" thickBot="1" x14ac:dyDescent="0.3">
      <c r="B15" s="31" t="s">
        <v>89</v>
      </c>
      <c r="C15" s="16">
        <f>PI()^(3/2)</f>
        <v>5.5683279968317088</v>
      </c>
      <c r="D15" s="16"/>
      <c r="E15" s="16"/>
      <c r="F15" s="16"/>
      <c r="G15" s="32" t="s">
        <v>89</v>
      </c>
      <c r="H15" s="16">
        <f>PI()^(3/2)</f>
        <v>5.5683279968317088</v>
      </c>
      <c r="I15" s="16"/>
      <c r="J15" s="16"/>
      <c r="K15" s="30"/>
      <c r="M15" s="57" t="s">
        <v>46</v>
      </c>
      <c r="N15" s="58">
        <f>Q8</f>
        <v>1.52569666666666</v>
      </c>
      <c r="O15" s="58">
        <f>O23</f>
        <v>0.78901666666666603</v>
      </c>
      <c r="P15" s="58">
        <f t="shared" si="0"/>
        <v>0.73667999999999401</v>
      </c>
      <c r="Q15" s="47"/>
      <c r="R15" s="59"/>
    </row>
    <row r="16" spans="2:18" ht="15.75" thickBot="1" x14ac:dyDescent="0.3">
      <c r="B16" s="74" t="s">
        <v>7</v>
      </c>
      <c r="C16" s="16">
        <f>(PI()^(3/2))*C12*C10*C10</f>
        <v>1.9268033762697033E-18</v>
      </c>
      <c r="D16" s="16" t="s">
        <v>10</v>
      </c>
      <c r="E16" s="16"/>
      <c r="F16" s="16"/>
      <c r="G16" s="78" t="s">
        <v>7</v>
      </c>
      <c r="H16" s="16">
        <f>(PI()^(3/2))*H12*H10*H10</f>
        <v>1.3399922303585307E-18</v>
      </c>
      <c r="I16" s="16" t="s">
        <v>10</v>
      </c>
      <c r="J16" s="16"/>
      <c r="K16" s="30"/>
      <c r="R16" s="2"/>
    </row>
    <row r="17" spans="1:18" ht="15.75" x14ac:dyDescent="0.25">
      <c r="B17" s="74"/>
      <c r="C17" s="33">
        <f>C16/0.000000000000001*1000</f>
        <v>1.9268033762697032</v>
      </c>
      <c r="D17" s="34" t="s">
        <v>8</v>
      </c>
      <c r="E17" s="16" t="s">
        <v>9</v>
      </c>
      <c r="F17" s="16"/>
      <c r="G17" s="78"/>
      <c r="H17" s="33">
        <f>H16/0.000000000000001*1000</f>
        <v>1.3399922303585305</v>
      </c>
      <c r="I17" s="34" t="s">
        <v>8</v>
      </c>
      <c r="J17" s="16" t="s">
        <v>9</v>
      </c>
      <c r="K17" s="30"/>
      <c r="M17" s="92" t="s">
        <v>31</v>
      </c>
      <c r="N17" s="80"/>
      <c r="O17" s="80"/>
      <c r="P17" s="80"/>
      <c r="Q17" s="80"/>
      <c r="R17" s="81"/>
    </row>
    <row r="18" spans="1:18" x14ac:dyDescent="0.25">
      <c r="B18" s="36"/>
      <c r="C18" s="16"/>
      <c r="D18" s="16"/>
      <c r="E18" s="16" t="s">
        <v>11</v>
      </c>
      <c r="F18" s="16"/>
      <c r="G18" s="37"/>
      <c r="H18" s="16"/>
      <c r="I18" s="16"/>
      <c r="J18" s="16" t="s">
        <v>11</v>
      </c>
      <c r="K18" s="30"/>
      <c r="M18" s="38"/>
      <c r="N18" s="6" t="s">
        <v>58</v>
      </c>
      <c r="O18" s="6" t="s">
        <v>59</v>
      </c>
      <c r="P18" s="6" t="s">
        <v>24</v>
      </c>
      <c r="Q18" s="6" t="s">
        <v>13</v>
      </c>
      <c r="R18" s="50" t="s">
        <v>26</v>
      </c>
    </row>
    <row r="19" spans="1:18" x14ac:dyDescent="0.25">
      <c r="B19" s="38"/>
      <c r="C19" s="16"/>
      <c r="D19" s="16"/>
      <c r="E19" s="16"/>
      <c r="F19" s="16"/>
      <c r="G19" s="16"/>
      <c r="H19" s="16"/>
      <c r="I19" s="16"/>
      <c r="J19" s="16"/>
      <c r="K19" s="30"/>
      <c r="M19" s="8"/>
      <c r="N19" s="4">
        <v>4.0996899999999998</v>
      </c>
      <c r="O19" s="4">
        <v>4.6598100000000002</v>
      </c>
      <c r="P19" s="4">
        <f>SUM(N19:O19)</f>
        <v>8.7594999999999992</v>
      </c>
      <c r="Q19" s="3">
        <v>3.58</v>
      </c>
      <c r="R19" s="51">
        <f>P19/Q19</f>
        <v>2.4467877094972064</v>
      </c>
    </row>
    <row r="20" spans="1:18" ht="15.75" x14ac:dyDescent="0.25">
      <c r="B20" s="75" t="s">
        <v>25</v>
      </c>
      <c r="C20" s="76"/>
      <c r="D20" s="76"/>
      <c r="E20" s="76"/>
      <c r="F20" s="76"/>
      <c r="G20" s="85" t="s">
        <v>25</v>
      </c>
      <c r="H20" s="85"/>
      <c r="I20" s="85"/>
      <c r="J20" s="85"/>
      <c r="K20" s="88"/>
      <c r="M20" s="8"/>
      <c r="N20" s="60"/>
      <c r="O20" s="60"/>
      <c r="P20" s="60"/>
      <c r="Q20" s="60"/>
      <c r="R20" s="30"/>
    </row>
    <row r="21" spans="1:18" ht="15.75" x14ac:dyDescent="0.25">
      <c r="B21" s="38"/>
      <c r="C21" s="16"/>
      <c r="D21" s="16"/>
      <c r="E21" s="16"/>
      <c r="F21" s="16"/>
      <c r="G21" s="16"/>
      <c r="H21" s="16"/>
      <c r="I21" s="16"/>
      <c r="J21" s="16"/>
      <c r="K21" s="30"/>
      <c r="M21" s="84" t="s">
        <v>22</v>
      </c>
      <c r="N21" s="85"/>
      <c r="O21" s="85"/>
      <c r="P21" s="85"/>
      <c r="Q21" s="85"/>
      <c r="R21" s="30"/>
    </row>
    <row r="22" spans="1:18" x14ac:dyDescent="0.25">
      <c r="B22" s="39" t="s">
        <v>12</v>
      </c>
      <c r="C22" s="16"/>
      <c r="D22" s="16"/>
      <c r="E22" s="16"/>
      <c r="F22" s="40"/>
      <c r="G22" s="40" t="s">
        <v>12</v>
      </c>
      <c r="H22" s="16"/>
      <c r="I22" s="16"/>
      <c r="J22" s="16"/>
      <c r="K22" s="41"/>
      <c r="M22" s="52"/>
      <c r="N22" s="6" t="s">
        <v>54</v>
      </c>
      <c r="O22" s="6" t="s">
        <v>55</v>
      </c>
      <c r="P22" s="6" t="s">
        <v>56</v>
      </c>
      <c r="Q22" s="6" t="s">
        <v>57</v>
      </c>
      <c r="R22" s="30"/>
    </row>
    <row r="23" spans="1:18" x14ac:dyDescent="0.25">
      <c r="B23" s="31" t="s">
        <v>13</v>
      </c>
      <c r="C23" s="42">
        <f>Q4</f>
        <v>0.76</v>
      </c>
      <c r="D23" s="29" t="s">
        <v>30</v>
      </c>
      <c r="E23" s="69" t="s">
        <v>29</v>
      </c>
      <c r="F23" s="69"/>
      <c r="G23" s="32" t="s">
        <v>13</v>
      </c>
      <c r="H23" s="42">
        <f>Q19</f>
        <v>3.58</v>
      </c>
      <c r="I23" s="29" t="s">
        <v>30</v>
      </c>
      <c r="J23" s="69" t="s">
        <v>29</v>
      </c>
      <c r="K23" s="77"/>
      <c r="M23" s="8"/>
      <c r="N23" s="7">
        <v>0.44039</v>
      </c>
      <c r="O23" s="4">
        <v>0.78901666666666603</v>
      </c>
      <c r="P23" s="4">
        <v>1.8278033333333299</v>
      </c>
      <c r="Q23" s="4">
        <v>2.2928899999999999</v>
      </c>
      <c r="R23" s="30"/>
    </row>
    <row r="24" spans="1:18" x14ac:dyDescent="0.25">
      <c r="B24" s="31" t="s">
        <v>14</v>
      </c>
      <c r="C24" s="16">
        <f>C23/C16/1000</f>
        <v>394435680028422.06</v>
      </c>
      <c r="D24" s="16" t="s">
        <v>15</v>
      </c>
      <c r="E24" s="16"/>
      <c r="F24" s="16"/>
      <c r="G24" s="32" t="s">
        <v>14</v>
      </c>
      <c r="H24" s="16">
        <f>H23/H16/1000</f>
        <v>2671657281954634</v>
      </c>
      <c r="I24" s="16" t="s">
        <v>15</v>
      </c>
      <c r="J24" s="16"/>
      <c r="K24" s="30"/>
      <c r="M24" s="8"/>
      <c r="N24" s="60"/>
      <c r="O24" s="60"/>
      <c r="P24" s="60"/>
      <c r="Q24" s="60"/>
      <c r="R24" s="61"/>
    </row>
    <row r="25" spans="1:18" ht="15.75" x14ac:dyDescent="0.25">
      <c r="B25" s="74" t="s">
        <v>14</v>
      </c>
      <c r="C25" s="43">
        <f>C24/6.022E+23</f>
        <v>6.5499116577286953E-10</v>
      </c>
      <c r="D25" s="16" t="s">
        <v>16</v>
      </c>
      <c r="E25" s="16"/>
      <c r="F25" s="43"/>
      <c r="G25" s="78" t="s">
        <v>14</v>
      </c>
      <c r="H25" s="43">
        <f>H24/6.022E+23</f>
        <v>4.4364949883006211E-9</v>
      </c>
      <c r="I25" s="16" t="s">
        <v>16</v>
      </c>
      <c r="J25" s="16"/>
      <c r="K25" s="44"/>
      <c r="M25" s="84" t="s">
        <v>81</v>
      </c>
      <c r="N25" s="85"/>
      <c r="O25" s="85"/>
      <c r="P25" s="85"/>
      <c r="Q25" s="85"/>
      <c r="R25" s="88"/>
    </row>
    <row r="26" spans="1:18" ht="18" x14ac:dyDescent="0.35">
      <c r="B26" s="74"/>
      <c r="C26" s="43">
        <f>C25*1000</f>
        <v>6.549911657728695E-7</v>
      </c>
      <c r="D26" s="16" t="s">
        <v>17</v>
      </c>
      <c r="E26" s="16"/>
      <c r="F26" s="43"/>
      <c r="G26" s="78"/>
      <c r="H26" s="43">
        <f>H25*1000</f>
        <v>4.4364949883006211E-6</v>
      </c>
      <c r="I26" s="16" t="s">
        <v>17</v>
      </c>
      <c r="J26" s="16"/>
      <c r="K26" s="44"/>
      <c r="M26" s="38"/>
      <c r="N26" s="6" t="s">
        <v>36</v>
      </c>
      <c r="O26" s="6" t="s">
        <v>33</v>
      </c>
      <c r="P26" s="6" t="s">
        <v>37</v>
      </c>
      <c r="Q26" s="16"/>
      <c r="R26" s="30"/>
    </row>
    <row r="27" spans="1:18" x14ac:dyDescent="0.25">
      <c r="B27" s="74"/>
      <c r="C27" s="43">
        <f t="shared" ref="C27:C28" si="1">C26*1000</f>
        <v>6.5499116577286956E-4</v>
      </c>
      <c r="D27" s="16" t="s">
        <v>18</v>
      </c>
      <c r="E27" s="16"/>
      <c r="F27" s="43"/>
      <c r="G27" s="78"/>
      <c r="H27" s="43">
        <f t="shared" ref="H27:H28" si="2">H26*1000</f>
        <v>4.4364949883006211E-3</v>
      </c>
      <c r="I27" s="16" t="s">
        <v>18</v>
      </c>
      <c r="J27" s="16"/>
      <c r="K27" s="44"/>
      <c r="M27" s="55" t="s">
        <v>60</v>
      </c>
      <c r="N27" s="4">
        <f>N19</f>
        <v>4.0996899999999998</v>
      </c>
      <c r="O27" s="4">
        <f>N23</f>
        <v>0.44039</v>
      </c>
      <c r="P27" s="4">
        <f>N27-O27</f>
        <v>3.6593</v>
      </c>
      <c r="Q27" s="16"/>
      <c r="R27" s="54" t="s">
        <v>63</v>
      </c>
    </row>
    <row r="28" spans="1:18" ht="15.75" thickBot="1" x14ac:dyDescent="0.3">
      <c r="B28" s="96"/>
      <c r="C28" s="45">
        <f t="shared" si="1"/>
        <v>0.65499116577286953</v>
      </c>
      <c r="D28" s="46" t="s">
        <v>19</v>
      </c>
      <c r="E28" s="47"/>
      <c r="F28" s="48"/>
      <c r="G28" s="79"/>
      <c r="H28" s="45">
        <f t="shared" si="2"/>
        <v>4.4364949883006215</v>
      </c>
      <c r="I28" s="46" t="s">
        <v>19</v>
      </c>
      <c r="J28" s="47"/>
      <c r="K28" s="49"/>
      <c r="M28" s="55" t="s">
        <v>61</v>
      </c>
      <c r="N28" s="4">
        <f>P23</f>
        <v>1.8278033333333299</v>
      </c>
      <c r="O28" s="4">
        <f>N23</f>
        <v>0.44039</v>
      </c>
      <c r="P28" s="4">
        <f t="shared" ref="P28" si="3">N28-O28</f>
        <v>1.3874133333333298</v>
      </c>
      <c r="Q28" s="16"/>
      <c r="R28" s="56">
        <f>((P28+P30)/(P27+P29))*100</f>
        <v>38.396425365245541</v>
      </c>
    </row>
    <row r="29" spans="1:18" x14ac:dyDescent="0.25">
      <c r="M29" s="55" t="s">
        <v>79</v>
      </c>
      <c r="N29" s="4">
        <f>O19</f>
        <v>4.6598100000000002</v>
      </c>
      <c r="O29" s="4">
        <f>O23</f>
        <v>0.78901666666666603</v>
      </c>
      <c r="P29" s="4">
        <f>N29-O29</f>
        <v>3.8707933333333342</v>
      </c>
      <c r="Q29" s="16"/>
      <c r="R29" s="30"/>
    </row>
    <row r="30" spans="1:18" ht="15.75" thickBot="1" x14ac:dyDescent="0.3">
      <c r="M30" s="57" t="s">
        <v>80</v>
      </c>
      <c r="N30" s="58">
        <f>Q23</f>
        <v>2.2928899999999999</v>
      </c>
      <c r="O30" s="58">
        <f>O23</f>
        <v>0.78901666666666603</v>
      </c>
      <c r="P30" s="58">
        <f t="shared" ref="P30" si="4">N30-O30</f>
        <v>1.5038733333333338</v>
      </c>
      <c r="Q30" s="47"/>
      <c r="R30" s="59"/>
    </row>
    <row r="31" spans="1:18" x14ac:dyDescent="0.25">
      <c r="N31" s="14"/>
      <c r="O31" s="14"/>
      <c r="P31" s="14"/>
      <c r="Q31" s="2"/>
      <c r="R31" s="2"/>
    </row>
    <row r="32" spans="1:18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8"/>
      <c r="O32" s="18"/>
      <c r="P32" s="18"/>
      <c r="Q32" s="19"/>
      <c r="R32" s="19"/>
    </row>
    <row r="33" spans="2:16" ht="15.75" thickBot="1" x14ac:dyDescent="0.3"/>
    <row r="34" spans="2:16" ht="15.75" x14ac:dyDescent="0.25">
      <c r="B34" s="99" t="s">
        <v>72</v>
      </c>
      <c r="C34" s="100"/>
      <c r="D34" s="100"/>
      <c r="E34" s="100"/>
      <c r="F34" s="100"/>
      <c r="G34" s="62"/>
      <c r="H34" s="62"/>
      <c r="I34" s="93" t="s">
        <v>66</v>
      </c>
      <c r="J34" s="93"/>
      <c r="K34" s="93"/>
      <c r="L34" s="93"/>
      <c r="M34" s="94" t="s">
        <v>67</v>
      </c>
      <c r="N34" s="94"/>
      <c r="O34" s="94"/>
      <c r="P34" s="95"/>
    </row>
    <row r="35" spans="2:16" x14ac:dyDescent="0.25">
      <c r="B35" s="72" t="s">
        <v>0</v>
      </c>
      <c r="C35" s="42">
        <f>M38</f>
        <v>79.620089937453898</v>
      </c>
      <c r="D35" s="29" t="s">
        <v>2</v>
      </c>
      <c r="E35" s="69" t="s">
        <v>64</v>
      </c>
      <c r="F35" s="69"/>
      <c r="G35" s="60"/>
      <c r="H35" s="60"/>
      <c r="I35" s="29" t="s">
        <v>13</v>
      </c>
      <c r="J35" s="3" t="s">
        <v>65</v>
      </c>
      <c r="K35" s="29" t="s">
        <v>82</v>
      </c>
      <c r="L35" s="3" t="s">
        <v>68</v>
      </c>
      <c r="M35" s="29" t="s">
        <v>13</v>
      </c>
      <c r="N35" s="3" t="s">
        <v>65</v>
      </c>
      <c r="O35" s="29" t="s">
        <v>82</v>
      </c>
      <c r="P35" s="63" t="s">
        <v>68</v>
      </c>
    </row>
    <row r="36" spans="2:16" x14ac:dyDescent="0.25">
      <c r="B36" s="72"/>
      <c r="C36" s="16">
        <f>C35*0.000000000001</f>
        <v>7.9620089937453894E-11</v>
      </c>
      <c r="D36" s="16" t="s">
        <v>3</v>
      </c>
      <c r="E36" s="16"/>
      <c r="F36" s="16"/>
      <c r="G36" s="60"/>
      <c r="H36" s="60"/>
      <c r="I36" s="3">
        <v>8.27</v>
      </c>
      <c r="J36" s="4">
        <f>I36/(C16*1000*6.02E+23)*1000000000</f>
        <v>7.1297059665917342</v>
      </c>
      <c r="K36" s="3">
        <v>433</v>
      </c>
      <c r="L36" s="4">
        <f>($C$11)^2/(4*K36/1000000)</f>
        <v>72.665127020785178</v>
      </c>
      <c r="M36" s="3">
        <v>10.9</v>
      </c>
      <c r="N36" s="4">
        <f>M36/(H16*1000*6.02E+23)*1000000000</f>
        <v>13.512251699783548</v>
      </c>
      <c r="O36" s="3">
        <v>473</v>
      </c>
      <c r="P36" s="51">
        <f>(H11)^2/(4*O36/1000000)</f>
        <v>86.575052854122617</v>
      </c>
    </row>
    <row r="37" spans="2:16" x14ac:dyDescent="0.25">
      <c r="B37" s="73" t="s">
        <v>93</v>
      </c>
      <c r="C37" s="29">
        <v>502</v>
      </c>
      <c r="D37" s="29" t="s">
        <v>4</v>
      </c>
      <c r="E37" s="69" t="s">
        <v>29</v>
      </c>
      <c r="F37" s="69"/>
      <c r="G37" s="60"/>
      <c r="H37" s="60"/>
      <c r="I37" s="60"/>
      <c r="J37" s="60"/>
      <c r="K37" s="60"/>
      <c r="L37" s="60"/>
      <c r="M37" s="60"/>
      <c r="N37" s="60"/>
      <c r="O37" s="60"/>
      <c r="P37" s="61"/>
    </row>
    <row r="38" spans="2:16" x14ac:dyDescent="0.25">
      <c r="B38" s="73"/>
      <c r="C38" s="16">
        <f>C37*0.000001</f>
        <v>5.0199999999999995E-4</v>
      </c>
      <c r="D38" s="16" t="s">
        <v>1</v>
      </c>
      <c r="E38" s="16"/>
      <c r="F38" s="16"/>
      <c r="G38" s="60"/>
      <c r="H38" s="60"/>
      <c r="I38" s="97" t="s">
        <v>71</v>
      </c>
      <c r="J38" s="97"/>
      <c r="K38" s="97"/>
      <c r="L38" s="97"/>
      <c r="M38" s="64">
        <f>AVERAGE(L36,P36)</f>
        <v>79.620089937453898</v>
      </c>
      <c r="N38" s="60"/>
      <c r="O38" s="60"/>
      <c r="P38" s="61"/>
    </row>
    <row r="39" spans="2:16" x14ac:dyDescent="0.25">
      <c r="B39" s="31" t="s">
        <v>1</v>
      </c>
      <c r="C39" s="29">
        <v>4.45</v>
      </c>
      <c r="D39" s="29"/>
      <c r="E39" s="69" t="s">
        <v>29</v>
      </c>
      <c r="F39" s="69"/>
      <c r="G39" s="60"/>
      <c r="H39" s="60"/>
      <c r="I39" s="60"/>
      <c r="J39" s="60"/>
      <c r="K39" s="60"/>
      <c r="L39" s="60"/>
      <c r="M39" s="60"/>
      <c r="N39" s="60"/>
      <c r="O39" s="60"/>
      <c r="P39" s="61"/>
    </row>
    <row r="40" spans="2:16" ht="15.75" x14ac:dyDescent="0.25">
      <c r="B40" s="31"/>
      <c r="C40" s="16"/>
      <c r="D40" s="16"/>
      <c r="E40" s="16"/>
      <c r="F40" s="16"/>
      <c r="G40" s="60"/>
      <c r="H40" s="60"/>
      <c r="I40" s="98" t="s">
        <v>70</v>
      </c>
      <c r="J40" s="98"/>
      <c r="K40" s="98"/>
      <c r="L40" s="98"/>
      <c r="M40" s="98"/>
      <c r="N40" s="98"/>
      <c r="O40" s="98"/>
      <c r="P40" s="61"/>
    </row>
    <row r="41" spans="2:16" ht="18" x14ac:dyDescent="0.35">
      <c r="B41" s="31" t="s">
        <v>92</v>
      </c>
      <c r="C41" s="16">
        <f>4*C38*C36</f>
        <v>1.5987714059440741E-13</v>
      </c>
      <c r="D41" s="16"/>
      <c r="E41" s="16"/>
      <c r="F41" s="16"/>
      <c r="G41" s="60"/>
      <c r="H41" s="60"/>
      <c r="I41" s="65" t="s">
        <v>76</v>
      </c>
      <c r="J41" s="65" t="s">
        <v>69</v>
      </c>
      <c r="K41" s="10" t="s">
        <v>73</v>
      </c>
      <c r="L41" s="12" t="s">
        <v>78</v>
      </c>
      <c r="M41" s="11" t="s">
        <v>74</v>
      </c>
      <c r="N41" s="13" t="s">
        <v>77</v>
      </c>
      <c r="O41" s="9" t="s">
        <v>75</v>
      </c>
      <c r="P41" s="61"/>
    </row>
    <row r="42" spans="2:16" x14ac:dyDescent="0.25">
      <c r="B42" s="74" t="s">
        <v>91</v>
      </c>
      <c r="C42" s="16">
        <f>SQRT(C41)</f>
        <v>3.9984639625036936E-7</v>
      </c>
      <c r="D42" s="16" t="s">
        <v>5</v>
      </c>
      <c r="E42" s="16"/>
      <c r="F42" s="16"/>
      <c r="G42" s="60"/>
      <c r="H42" s="60"/>
      <c r="I42" s="3">
        <v>15.1</v>
      </c>
      <c r="J42" s="7">
        <f>1/I42</f>
        <v>6.6225165562913912E-2</v>
      </c>
      <c r="K42" s="4">
        <f>(J42/(1/I36))*J36</f>
        <v>3.9048124730936191</v>
      </c>
      <c r="L42" s="4">
        <f>J42*I36</f>
        <v>0.54768211920529808</v>
      </c>
      <c r="M42" s="4">
        <f>(J42/(1/M36))*N36</f>
        <v>9.7538770548106424</v>
      </c>
      <c r="N42" s="4">
        <f>J42*M36</f>
        <v>0.72185430463576172</v>
      </c>
      <c r="O42" s="4">
        <f>(M42+K42)/2</f>
        <v>6.8293447639521307</v>
      </c>
      <c r="P42" s="61"/>
    </row>
    <row r="43" spans="2:16" x14ac:dyDescent="0.25">
      <c r="B43" s="74"/>
      <c r="C43" s="33">
        <f>C42*1000000</f>
        <v>0.39984639625036938</v>
      </c>
      <c r="D43" s="34" t="s">
        <v>6</v>
      </c>
      <c r="E43" s="16"/>
      <c r="F43" s="16"/>
      <c r="G43" s="60"/>
      <c r="H43" s="60"/>
      <c r="I43" s="60"/>
      <c r="J43" s="60"/>
      <c r="K43" s="60"/>
      <c r="L43" s="60"/>
      <c r="M43" s="60"/>
      <c r="N43" s="60"/>
      <c r="O43" s="60"/>
      <c r="P43" s="61"/>
    </row>
    <row r="44" spans="2:16" x14ac:dyDescent="0.25">
      <c r="B44" s="74" t="s">
        <v>90</v>
      </c>
      <c r="C44" s="16">
        <f>C39*C42</f>
        <v>1.7793164633141437E-6</v>
      </c>
      <c r="D44" s="16" t="s">
        <v>5</v>
      </c>
      <c r="E44" s="16"/>
      <c r="F44" s="16"/>
      <c r="G44" s="60"/>
      <c r="H44" s="60"/>
      <c r="I44" s="60"/>
      <c r="J44" s="60"/>
      <c r="K44" s="60"/>
      <c r="L44" s="60"/>
      <c r="M44" s="60"/>
      <c r="N44" s="60"/>
      <c r="O44" s="60"/>
      <c r="P44" s="61"/>
    </row>
    <row r="45" spans="2:16" x14ac:dyDescent="0.25">
      <c r="B45" s="74"/>
      <c r="C45" s="33">
        <f>C43*C39</f>
        <v>1.7793164633141438</v>
      </c>
      <c r="D45" s="34" t="s">
        <v>6</v>
      </c>
      <c r="E45" s="16"/>
      <c r="F45" s="16"/>
      <c r="G45" s="60"/>
      <c r="H45" s="60"/>
      <c r="I45" s="60"/>
      <c r="J45" s="60"/>
      <c r="K45" s="60"/>
      <c r="L45" s="60"/>
      <c r="M45" s="60"/>
      <c r="N45" s="60"/>
      <c r="O45" s="60"/>
      <c r="P45" s="61"/>
    </row>
    <row r="46" spans="2:16" x14ac:dyDescent="0.25">
      <c r="B46" s="31"/>
      <c r="C46" s="35"/>
      <c r="D46" s="16"/>
      <c r="E46" s="16"/>
      <c r="F46" s="16"/>
      <c r="G46" s="60"/>
      <c r="H46" s="60"/>
      <c r="I46" s="60"/>
      <c r="J46" s="60"/>
      <c r="K46" s="60"/>
      <c r="L46" s="60"/>
      <c r="M46" s="60"/>
      <c r="N46" s="60"/>
      <c r="O46" s="60"/>
      <c r="P46" s="61"/>
    </row>
    <row r="47" spans="2:16" ht="17.25" x14ac:dyDescent="0.25">
      <c r="B47" s="31" t="s">
        <v>89</v>
      </c>
      <c r="C47" s="16">
        <f>PI()^(3/2)</f>
        <v>5.5683279968317088</v>
      </c>
      <c r="D47" s="16"/>
      <c r="E47" s="16"/>
      <c r="F47" s="16"/>
      <c r="G47" s="60"/>
      <c r="H47" s="60"/>
      <c r="I47" s="60"/>
      <c r="J47" s="60"/>
      <c r="K47" s="60"/>
      <c r="L47" s="60"/>
      <c r="M47" s="60"/>
      <c r="N47" s="60"/>
      <c r="O47" s="60"/>
      <c r="P47" s="61"/>
    </row>
    <row r="48" spans="2:16" x14ac:dyDescent="0.25">
      <c r="B48" s="74" t="s">
        <v>7</v>
      </c>
      <c r="C48" s="16">
        <f>(PI()^(3/2))*C44*C42*C42</f>
        <v>1.5840335598726898E-18</v>
      </c>
      <c r="D48" s="16" t="s">
        <v>10</v>
      </c>
      <c r="E48" s="16"/>
      <c r="F48" s="16"/>
      <c r="G48" s="60"/>
      <c r="H48" s="60"/>
      <c r="I48" s="60"/>
      <c r="J48" s="60"/>
      <c r="K48" s="60"/>
      <c r="L48" s="60"/>
      <c r="M48" s="60"/>
      <c r="N48" s="60"/>
      <c r="O48" s="60"/>
      <c r="P48" s="61"/>
    </row>
    <row r="49" spans="2:16" ht="15.75" thickBot="1" x14ac:dyDescent="0.3">
      <c r="B49" s="96"/>
      <c r="C49" s="66">
        <f>C48/0.000000000000001*1000</f>
        <v>1.5840335598726898</v>
      </c>
      <c r="D49" s="46" t="s">
        <v>8</v>
      </c>
      <c r="E49" s="47"/>
      <c r="F49" s="47"/>
      <c r="G49" s="67"/>
      <c r="H49" s="67"/>
      <c r="I49" s="67"/>
      <c r="J49" s="67"/>
      <c r="K49" s="67"/>
      <c r="L49" s="67"/>
      <c r="M49" s="67"/>
      <c r="N49" s="67"/>
      <c r="O49" s="67"/>
      <c r="P49" s="68"/>
    </row>
    <row r="50" spans="2:16" x14ac:dyDescent="0.25">
      <c r="B50" s="5"/>
      <c r="C50" s="2"/>
      <c r="D50" s="2"/>
      <c r="E50" s="2"/>
      <c r="F50" s="2"/>
    </row>
  </sheetData>
  <mergeCells count="44">
    <mergeCell ref="B48:B49"/>
    <mergeCell ref="I38:L38"/>
    <mergeCell ref="I40:O40"/>
    <mergeCell ref="B37:B38"/>
    <mergeCell ref="E37:F37"/>
    <mergeCell ref="E39:F39"/>
    <mergeCell ref="B42:B43"/>
    <mergeCell ref="B44:B45"/>
    <mergeCell ref="M25:R25"/>
    <mergeCell ref="B34:F34"/>
    <mergeCell ref="I34:L34"/>
    <mergeCell ref="M34:P34"/>
    <mergeCell ref="B35:B36"/>
    <mergeCell ref="E35:F35"/>
    <mergeCell ref="B25:B28"/>
    <mergeCell ref="M2:R2"/>
    <mergeCell ref="M6:O6"/>
    <mergeCell ref="P6:Q6"/>
    <mergeCell ref="M10:R10"/>
    <mergeCell ref="M17:R17"/>
    <mergeCell ref="M21:Q21"/>
    <mergeCell ref="G10:G11"/>
    <mergeCell ref="G12:G13"/>
    <mergeCell ref="G16:G17"/>
    <mergeCell ref="G20:K20"/>
    <mergeCell ref="J23:K23"/>
    <mergeCell ref="G25:G28"/>
    <mergeCell ref="G2:K2"/>
    <mergeCell ref="G3:G4"/>
    <mergeCell ref="J3:K3"/>
    <mergeCell ref="G5:G6"/>
    <mergeCell ref="J5:K5"/>
    <mergeCell ref="J7:K7"/>
    <mergeCell ref="B10:B11"/>
    <mergeCell ref="B12:B13"/>
    <mergeCell ref="B16:B17"/>
    <mergeCell ref="B20:F20"/>
    <mergeCell ref="E23:F23"/>
    <mergeCell ref="E7:F7"/>
    <mergeCell ref="B2:F2"/>
    <mergeCell ref="B3:B4"/>
    <mergeCell ref="E3:F3"/>
    <mergeCell ref="B5:B6"/>
    <mergeCell ref="E5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Countrates</vt:lpstr>
      <vt:lpstr>Calibration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Hemmenk</dc:creator>
  <cp:lastModifiedBy>Hemmenk</cp:lastModifiedBy>
  <dcterms:created xsi:type="dcterms:W3CDTF">2020-07-22T06:04:28Z</dcterms:created>
  <dcterms:modified xsi:type="dcterms:W3CDTF">2021-05-26T10:02:56Z</dcterms:modified>
</cp:coreProperties>
</file>