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b\OneDrive - UHN\Presentations\Conference 2021-03-12 (JoVE)\Revision_02\"/>
    </mc:Choice>
  </mc:AlternateContent>
  <bookViews>
    <workbookView xWindow="0" yWindow="0" windowWidth="19320" windowHeight="15480" tabRatio="659"/>
  </bookViews>
  <sheets>
    <sheet name="Sheet1" sheetId="11" r:id="rId1"/>
  </sheets>
  <calcPr calcId="152511"/>
</workbook>
</file>

<file path=xl/calcChain.xml><?xml version="1.0" encoding="utf-8"?>
<calcChain xmlns="http://schemas.openxmlformats.org/spreadsheetml/2006/main">
  <c r="B30" i="11" l="1"/>
  <c r="B7" i="11" l="1"/>
  <c r="D21" i="11" l="1"/>
  <c r="B37" i="11"/>
  <c r="E16" i="11" l="1"/>
  <c r="E14" i="11"/>
  <c r="E15" i="11"/>
  <c r="B60" i="11"/>
  <c r="C57" i="11" l="1"/>
  <c r="C58" i="11"/>
  <c r="C56" i="11"/>
  <c r="J18" i="11"/>
  <c r="J17" i="11"/>
  <c r="C17" i="11" l="1"/>
  <c r="E17" i="11" s="1"/>
  <c r="C18" i="11" l="1"/>
  <c r="E18" i="11" s="1"/>
  <c r="C19" i="11"/>
  <c r="E19" i="11" s="1"/>
  <c r="B70" i="11"/>
  <c r="C66" i="11" l="1"/>
  <c r="C67" i="11"/>
  <c r="C68" i="11"/>
  <c r="B39" i="11"/>
  <c r="B32" i="11"/>
  <c r="B36" i="11" s="1"/>
  <c r="B38" i="11" s="1"/>
  <c r="E21" i="11" l="1"/>
  <c r="H21" i="11" s="1"/>
  <c r="G14" i="11" l="1"/>
  <c r="G15" i="11"/>
  <c r="G16" i="11"/>
  <c r="G17" i="11"/>
  <c r="G18" i="11"/>
  <c r="G19" i="11"/>
  <c r="B40" i="11"/>
  <c r="C70" i="11" l="1"/>
  <c r="H17" i="11" l="1"/>
  <c r="H19" i="11"/>
  <c r="H16" i="11"/>
  <c r="H15" i="11"/>
  <c r="H18" i="11"/>
  <c r="H14" i="11"/>
  <c r="B49" i="11" l="1"/>
  <c r="G21" i="11"/>
  <c r="B47" i="11"/>
  <c r="B48" i="11"/>
  <c r="I16" i="11" l="1"/>
  <c r="I14" i="11"/>
  <c r="I18" i="11"/>
  <c r="I19" i="11"/>
  <c r="I17" i="11"/>
  <c r="I15" i="11"/>
  <c r="I21" i="11" l="1"/>
</calcChain>
</file>

<file path=xl/sharedStrings.xml><?xml version="1.0" encoding="utf-8"?>
<sst xmlns="http://schemas.openxmlformats.org/spreadsheetml/2006/main" count="118" uniqueCount="90">
  <si>
    <t>Species</t>
  </si>
  <si>
    <t>g/mol</t>
  </si>
  <si>
    <t>mg</t>
  </si>
  <si>
    <t>mg/mL</t>
  </si>
  <si>
    <t>mL</t>
  </si>
  <si>
    <t>Total</t>
  </si>
  <si>
    <r>
      <t>1,2-distearoyl-</t>
    </r>
    <r>
      <rPr>
        <i/>
        <sz val="10"/>
        <rFont val="Arial"/>
        <family val="2"/>
      </rPr>
      <t>sn</t>
    </r>
    <r>
      <rPr>
        <sz val="10"/>
        <rFont val="Arial"/>
        <family val="2"/>
      </rPr>
      <t>-glycero-3-phosphocholine</t>
    </r>
  </si>
  <si>
    <t>Avanti</t>
  </si>
  <si>
    <t>DSPC (18:0 PC)</t>
  </si>
  <si>
    <t>Mole Fraction</t>
  </si>
  <si>
    <t>Full Name</t>
  </si>
  <si>
    <t>DSPA (18:0 PA)</t>
  </si>
  <si>
    <t>Link 2</t>
  </si>
  <si>
    <t>Link 1</t>
  </si>
  <si>
    <t>Spirulina pacifica-derived pyropheophorbide conjugated 1-stearoyl-2-hydroxy-sn-glycero-3-phosphocholine</t>
  </si>
  <si>
    <t>mol/L</t>
  </si>
  <si>
    <t>Background Calculation</t>
  </si>
  <si>
    <t>uL</t>
  </si>
  <si>
    <t>Dilution Factor</t>
  </si>
  <si>
    <t>Solvent and anti-freeze</t>
  </si>
  <si>
    <t>Solvent and buffer</t>
  </si>
  <si>
    <t>Anti-freeze</t>
  </si>
  <si>
    <t>Palladium-chelated pyropheophorbide conjugated 1-stearoyl-2-hydroxy-sn-glycero-3-phosphocholine</t>
  </si>
  <si>
    <t>L/mol/cm</t>
  </si>
  <si>
    <t>Moles</t>
  </si>
  <si>
    <t>Mass [mg]</t>
  </si>
  <si>
    <t>abs [a.u.]</t>
  </si>
  <si>
    <t>na</t>
  </si>
  <si>
    <t>MW [g/mol]</t>
  </si>
  <si>
    <t>MW*Fraction [g/mol]</t>
  </si>
  <si>
    <t>Group</t>
  </si>
  <si>
    <t>TOTAL</t>
  </si>
  <si>
    <t>Phosphate Buffer Saline (PBS)</t>
  </si>
  <si>
    <t>[mg]</t>
  </si>
  <si>
    <t>[mol]</t>
  </si>
  <si>
    <t>fraction</t>
  </si>
  <si>
    <t>[g/mol]</t>
  </si>
  <si>
    <t>[deg C]</t>
  </si>
  <si>
    <t>Transition [°C]</t>
  </si>
  <si>
    <t>Absorbance (600 to 800nm Peak)</t>
  </si>
  <si>
    <t>Volume [uL]</t>
  </si>
  <si>
    <t>Vol Fraction</t>
  </si>
  <si>
    <t>Total Lipid Conc. [mg/mL]</t>
  </si>
  <si>
    <t>Total Volume [mL]</t>
  </si>
  <si>
    <t>Total Lipid Mass [mg]</t>
  </si>
  <si>
    <t>Conc Pyro-Lipid [mol/L]</t>
  </si>
  <si>
    <t>Chloroform</t>
  </si>
  <si>
    <t>Methanol</t>
  </si>
  <si>
    <t>Molecular Weight [g/mol]</t>
  </si>
  <si>
    <t>Pyro-Lipid</t>
  </si>
  <si>
    <t>Cuvette: Methanol Volume [uL]</t>
  </si>
  <si>
    <t>Phosphocholine</t>
  </si>
  <si>
    <t>Phosphate</t>
  </si>
  <si>
    <t>Propylene Glycol</t>
  </si>
  <si>
    <t>Glycerol</t>
  </si>
  <si>
    <t>Copper-chelated pyropheophorbide conjugated 1-stearoyl-2-hydroxy-sn-glycero-3-phosphocholine</t>
  </si>
  <si>
    <t>DO NOT MIX PYRO-LIPIDS TYPES</t>
  </si>
  <si>
    <t>Check Sample Mass [mg]</t>
  </si>
  <si>
    <t>Cuvette Path Length [cm]</t>
  </si>
  <si>
    <t>cm</t>
  </si>
  <si>
    <t>UV-Vis Absorbance Measurement</t>
  </si>
  <si>
    <t>Rehydrate Excipient for Lipid Solution</t>
  </si>
  <si>
    <t>Pyro-SPC (18:0 PC)</t>
  </si>
  <si>
    <t>Pd-Pyro-SPC (18:0 PC)</t>
  </si>
  <si>
    <t>Cu-Pyro-Lipid (18:0 PC)</t>
  </si>
  <si>
    <t>Lipid Concentration and Total Lipid Volume</t>
  </si>
  <si>
    <t>Mismatched Values</t>
  </si>
  <si>
    <t>Matched Values</t>
  </si>
  <si>
    <t>Molar atten. coef. [L/mol/cm]</t>
  </si>
  <si>
    <t>If DSPA, use: 0.6:0.32:0.08 = chloroform:methanol:ddWater.</t>
  </si>
  <si>
    <t>If no DSPA, use 0.9:0.1 = chloroform:methanol.</t>
  </si>
  <si>
    <t>Double-Distilled Water (ddWater)</t>
  </si>
  <si>
    <t>Cuvette: (Pyro-Lipid + Chloroform) Vol [uL]</t>
  </si>
  <si>
    <t>Chloroform Added to Pyro-Lipid [uL]</t>
  </si>
  <si>
    <t>Dissolving Solution</t>
  </si>
  <si>
    <t>1,2-distearoyl-sn-glycero-3-phosphoethanolamine-N-[methoxy(polyethylene glycol)-5000] ammonium salt</t>
  </si>
  <si>
    <t>1,2-distearoyl-sn-glycero-3-phosphate sodium salt</t>
  </si>
  <si>
    <t>Add (Pyro-Lipid + Chloroform) to Lipid Vial</t>
  </si>
  <si>
    <t>DSPE-PEG5K (18:0 PEG5K PE) †</t>
  </si>
  <si>
    <t>† Due to polydispersity, check molecular weight on stock bottle.</t>
  </si>
  <si>
    <r>
      <t xml:space="preserve">Pyro-SPC (18:0 L PC) </t>
    </r>
    <r>
      <rPr>
        <sz val="10"/>
        <color theme="1"/>
        <rFont val="Calibri"/>
        <family val="2"/>
      </rPr>
      <t>‡</t>
    </r>
  </si>
  <si>
    <t>Pd-Pyro-SPC (18:0 L PC) ‡</t>
  </si>
  <si>
    <t>Cu-Pyro-SPC (18:0 L PC) ‡</t>
  </si>
  <si>
    <t>INPUT</t>
  </si>
  <si>
    <t>OUTPUT</t>
  </si>
  <si>
    <t>Cell Legend</t>
  </si>
  <si>
    <t>‡ DO NOT mix pyro-lipid types or else the document will get confused regarding the molar atten. coef.</t>
  </si>
  <si>
    <t>Check Mole Fraction</t>
  </si>
  <si>
    <r>
      <t xml:space="preserve">mPEG 5000 </t>
    </r>
    <r>
      <rPr>
        <sz val="10"/>
        <rFont val="Calibri"/>
        <family val="2"/>
      </rPr>
      <t>†</t>
    </r>
  </si>
  <si>
    <r>
      <t xml:space="preserve">Molar attenuation coef. [L/mol/cm] </t>
    </r>
    <r>
      <rPr>
        <sz val="10"/>
        <rFont val="Calibri"/>
        <family val="2"/>
      </rPr>
      <t>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</si>
</sst>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E+00"/>
    <numFmt numFmtId="166" formatCode="0.0%"/>
  </numFmts>
  <fonts count="17" x14ac:knownFonts="1">
    <font>
      <sz val="10"/>
      <name val="Arial"/>
    </font>
    <font>
      <sz val="10"/>
      <name val="Arial"/>
      <family val="2"/>
    </font>
    <font>
      <sz val="12"/>
      <color rgb="FF3F3F76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u/>
      <sz val="11.5"/>
      <color theme="1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sz val="10"/>
      <color theme="1" tint="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0"/>
      <color theme="1"/>
      <name val="Calibri"/>
      <family val="2"/>
    </font>
    <font>
      <b/>
      <sz val="14"/>
      <name val="Arial"/>
      <family val="2"/>
    </font>
    <font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2" applyNumberFormat="0" applyAlignment="0" applyProtection="0"/>
    <xf numFmtId="0" fontId="1" fillId="3" borderId="3" applyNumberFormat="0" applyFon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 applyBorder="1"/>
    <xf numFmtId="0" fontId="4" fillId="0" borderId="1" xfId="0" applyFont="1" applyBorder="1"/>
    <xf numFmtId="0" fontId="3" fillId="0" borderId="4" xfId="0" applyFont="1" applyBorder="1"/>
    <xf numFmtId="0" fontId="1" fillId="0" borderId="0" xfId="0" applyFont="1"/>
    <xf numFmtId="0" fontId="1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5" fillId="0" borderId="5" xfId="0" applyFont="1" applyBorder="1"/>
    <xf numFmtId="0" fontId="5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/>
    <xf numFmtId="0" fontId="1" fillId="0" borderId="5" xfId="0" applyFont="1" applyBorder="1"/>
    <xf numFmtId="165" fontId="0" fillId="0" borderId="0" xfId="0" applyNumberFormat="1"/>
    <xf numFmtId="0" fontId="0" fillId="0" borderId="0" xfId="0" applyNumberFormat="1"/>
    <xf numFmtId="0" fontId="0" fillId="0" borderId="1" xfId="0" applyFont="1" applyFill="1" applyBorder="1"/>
    <xf numFmtId="11" fontId="0" fillId="0" borderId="0" xfId="0" applyNumberFormat="1"/>
    <xf numFmtId="164" fontId="0" fillId="0" borderId="0" xfId="0" applyNumberFormat="1"/>
    <xf numFmtId="0" fontId="8" fillId="0" borderId="6" xfId="3" applyFont="1" applyBorder="1" applyAlignment="1" applyProtection="1">
      <alignment horizontal="center" vertical="center"/>
    </xf>
    <xf numFmtId="0" fontId="5" fillId="0" borderId="0" xfId="0" applyFont="1" applyFill="1" applyBorder="1"/>
    <xf numFmtId="0" fontId="3" fillId="0" borderId="0" xfId="0" applyFont="1"/>
    <xf numFmtId="9" fontId="0" fillId="0" borderId="0" xfId="4" applyFont="1"/>
    <xf numFmtId="0" fontId="10" fillId="0" borderId="0" xfId="0" applyFont="1"/>
    <xf numFmtId="164" fontId="10" fillId="0" borderId="0" xfId="0" applyNumberFormat="1" applyFont="1"/>
    <xf numFmtId="164" fontId="11" fillId="0" borderId="14" xfId="0" applyNumberFormat="1" applyFont="1" applyBorder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0" fontId="5" fillId="0" borderId="0" xfId="0" applyFont="1" applyBorder="1"/>
    <xf numFmtId="0" fontId="0" fillId="0" borderId="4" xfId="0" applyBorder="1"/>
    <xf numFmtId="0" fontId="5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5" xfId="0" applyFont="1" applyFill="1" applyBorder="1"/>
    <xf numFmtId="164" fontId="1" fillId="6" borderId="5" xfId="0" applyNumberFormat="1" applyFont="1" applyFill="1" applyBorder="1" applyAlignment="1">
      <alignment horizontal="right" vertical="center"/>
    </xf>
    <xf numFmtId="0" fontId="1" fillId="6" borderId="5" xfId="0" applyFont="1" applyFill="1" applyBorder="1"/>
    <xf numFmtId="0" fontId="0" fillId="6" borderId="5" xfId="0" applyFill="1" applyBorder="1"/>
    <xf numFmtId="0" fontId="0" fillId="6" borderId="1" xfId="0" applyFill="1" applyBorder="1"/>
    <xf numFmtId="0" fontId="0" fillId="0" borderId="4" xfId="0" applyBorder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165" fontId="4" fillId="6" borderId="1" xfId="0" applyNumberFormat="1" applyFont="1" applyFill="1" applyBorder="1"/>
    <xf numFmtId="0" fontId="4" fillId="6" borderId="1" xfId="0" applyFont="1" applyFill="1" applyBorder="1"/>
    <xf numFmtId="0" fontId="1" fillId="6" borderId="1" xfId="0" applyFont="1" applyFill="1" applyBorder="1"/>
    <xf numFmtId="0" fontId="0" fillId="0" borderId="10" xfId="0" applyBorder="1"/>
    <xf numFmtId="0" fontId="4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0" fillId="9" borderId="1" xfId="0" applyFill="1" applyBorder="1"/>
    <xf numFmtId="0" fontId="0" fillId="8" borderId="1" xfId="0" applyFill="1" applyBorder="1"/>
    <xf numFmtId="0" fontId="13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2" fillId="6" borderId="5" xfId="0" applyFont="1" applyFill="1" applyBorder="1"/>
    <xf numFmtId="1" fontId="0" fillId="6" borderId="5" xfId="0" applyNumberFormat="1" applyFill="1" applyBorder="1"/>
    <xf numFmtId="0" fontId="5" fillId="0" borderId="5" xfId="0" applyFont="1" applyBorder="1" applyAlignment="1">
      <alignment horizontal="right"/>
    </xf>
    <xf numFmtId="0" fontId="0" fillId="6" borderId="1" xfId="0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right"/>
    </xf>
    <xf numFmtId="3" fontId="3" fillId="7" borderId="4" xfId="0" applyNumberFormat="1" applyFont="1" applyFill="1" applyBorder="1"/>
    <xf numFmtId="0" fontId="1" fillId="0" borderId="4" xfId="0" applyFont="1" applyBorder="1"/>
    <xf numFmtId="0" fontId="5" fillId="0" borderId="7" xfId="0" applyFont="1" applyBorder="1" applyAlignment="1">
      <alignment horizontal="right"/>
    </xf>
    <xf numFmtId="0" fontId="0" fillId="0" borderId="8" xfId="0" applyBorder="1"/>
    <xf numFmtId="0" fontId="0" fillId="6" borderId="10" xfId="0" applyFill="1" applyBorder="1"/>
    <xf numFmtId="10" fontId="0" fillId="0" borderId="0" xfId="4" applyNumberFormat="1" applyFont="1"/>
    <xf numFmtId="0" fontId="0" fillId="0" borderId="0" xfId="0" applyAlignment="1">
      <alignment horizontal="right" vertical="center"/>
    </xf>
    <xf numFmtId="2" fontId="0" fillId="6" borderId="5" xfId="0" applyNumberFormat="1" applyFill="1" applyBorder="1"/>
    <xf numFmtId="166" fontId="0" fillId="0" borderId="0" xfId="4" applyNumberFormat="1" applyFont="1"/>
    <xf numFmtId="1" fontId="0" fillId="0" borderId="0" xfId="0" applyNumberFormat="1" applyFill="1"/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" xfId="0" applyFont="1" applyFill="1" applyBorder="1"/>
    <xf numFmtId="2" fontId="3" fillId="11" borderId="1" xfId="0" applyNumberFormat="1" applyFont="1" applyFill="1" applyBorder="1" applyAlignment="1">
      <alignment horizontal="center" vertical="center"/>
    </xf>
    <xf numFmtId="165" fontId="3" fillId="11" borderId="8" xfId="0" applyNumberFormat="1" applyFont="1" applyFill="1" applyBorder="1" applyAlignment="1">
      <alignment horizontal="center" vertical="center"/>
    </xf>
    <xf numFmtId="4" fontId="5" fillId="7" borderId="4" xfId="0" applyNumberFormat="1" applyFont="1" applyFill="1" applyBorder="1"/>
    <xf numFmtId="4" fontId="3" fillId="7" borderId="4" xfId="0" applyNumberFormat="1" applyFont="1" applyFill="1" applyBorder="1" applyAlignment="1">
      <alignment horizontal="right" vertical="center"/>
    </xf>
    <xf numFmtId="0" fontId="4" fillId="8" borderId="5" xfId="0" applyFont="1" applyFill="1" applyBorder="1" applyAlignment="1">
      <alignment horizontal="center" vertical="center"/>
    </xf>
    <xf numFmtId="164" fontId="4" fillId="8" borderId="5" xfId="0" applyNumberFormat="1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8" fillId="8" borderId="1" xfId="3" applyFont="1" applyFill="1" applyBorder="1" applyAlignment="1" applyProtection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/>
    </xf>
    <xf numFmtId="164" fontId="12" fillId="9" borderId="14" xfId="0" applyNumberFormat="1" applyFont="1" applyFill="1" applyBorder="1" applyAlignment="1">
      <alignment horizontal="center"/>
    </xf>
    <xf numFmtId="3" fontId="0" fillId="9" borderId="1" xfId="0" applyNumberForma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8" fillId="9" borderId="1" xfId="3" applyFont="1" applyFill="1" applyBorder="1" applyAlignment="1" applyProtection="1">
      <alignment horizontal="center" vertical="center"/>
    </xf>
    <xf numFmtId="0" fontId="8" fillId="9" borderId="8" xfId="3" applyFont="1" applyFill="1" applyBorder="1" applyAlignment="1" applyProtection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164" fontId="4" fillId="10" borderId="5" xfId="0" applyNumberFormat="1" applyFont="1" applyFill="1" applyBorder="1" applyAlignment="1">
      <alignment horizontal="center"/>
    </xf>
    <xf numFmtId="164" fontId="12" fillId="10" borderId="14" xfId="0" applyNumberFormat="1" applyFont="1" applyFill="1" applyBorder="1" applyAlignment="1">
      <alignment horizontal="center"/>
    </xf>
    <xf numFmtId="3" fontId="0" fillId="10" borderId="5" xfId="0" applyNumberForma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8" fillId="10" borderId="5" xfId="3" applyFont="1" applyFill="1" applyBorder="1" applyAlignment="1" applyProtection="1">
      <alignment horizontal="center" vertical="center"/>
    </xf>
    <xf numFmtId="0" fontId="8" fillId="10" borderId="13" xfId="3" applyFont="1" applyFill="1" applyBorder="1" applyAlignment="1" applyProtection="1">
      <alignment horizontal="center" vertical="center"/>
    </xf>
    <xf numFmtId="2" fontId="12" fillId="0" borderId="1" xfId="0" applyNumberFormat="1" applyFont="1" applyFill="1" applyBorder="1"/>
    <xf numFmtId="3" fontId="12" fillId="0" borderId="2" xfId="1" applyNumberFormat="1" applyFont="1" applyFill="1"/>
    <xf numFmtId="165" fontId="12" fillId="0" borderId="1" xfId="0" applyNumberFormat="1" applyFont="1" applyFill="1" applyBorder="1"/>
    <xf numFmtId="164" fontId="12" fillId="0" borderId="0" xfId="0" applyNumberFormat="1" applyFont="1" applyFill="1"/>
    <xf numFmtId="4" fontId="3" fillId="11" borderId="1" xfId="0" applyNumberFormat="1" applyFont="1" applyFill="1" applyBorder="1"/>
    <xf numFmtId="4" fontId="1" fillId="0" borderId="6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164" fontId="3" fillId="5" borderId="1" xfId="0" applyNumberFormat="1" applyFont="1" applyFill="1" applyBorder="1"/>
    <xf numFmtId="164" fontId="12" fillId="8" borderId="1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4" xfId="0" applyBorder="1"/>
    <xf numFmtId="0" fontId="13" fillId="0" borderId="4" xfId="0" applyFont="1" applyBorder="1" applyAlignment="1">
      <alignment horizontal="center" vertical="center"/>
    </xf>
    <xf numFmtId="165" fontId="13" fillId="0" borderId="4" xfId="2" applyNumberFormat="1" applyFont="1" applyFill="1" applyBorder="1" applyAlignment="1">
      <alignment horizontal="center" vertical="center"/>
    </xf>
    <xf numFmtId="0" fontId="7" fillId="0" borderId="1" xfId="3" applyBorder="1" applyAlignment="1" applyProtection="1">
      <alignment horizontal="center" vertical="center"/>
    </xf>
    <xf numFmtId="0" fontId="7" fillId="8" borderId="1" xfId="3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5" fillId="13" borderId="15" xfId="1" applyFont="1" applyFill="1" applyBorder="1" applyAlignment="1">
      <alignment horizontal="center" vertical="center"/>
    </xf>
    <xf numFmtId="0" fontId="5" fillId="13" borderId="12" xfId="1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center" vertical="center"/>
    </xf>
    <xf numFmtId="0" fontId="5" fillId="13" borderId="5" xfId="1" applyFont="1" applyFill="1" applyBorder="1" applyAlignment="1">
      <alignment horizontal="center" vertical="center"/>
    </xf>
    <xf numFmtId="165" fontId="5" fillId="0" borderId="0" xfId="0" applyNumberFormat="1" applyFont="1" applyBorder="1"/>
    <xf numFmtId="3" fontId="5" fillId="13" borderId="4" xfId="0" applyNumberFormat="1" applyFont="1" applyFill="1" applyBorder="1"/>
    <xf numFmtId="0" fontId="3" fillId="13" borderId="1" xfId="0" applyFont="1" applyFill="1" applyBorder="1"/>
    <xf numFmtId="2" fontId="3" fillId="13" borderId="1" xfId="0" applyNumberFormat="1" applyFont="1" applyFill="1" applyBorder="1"/>
    <xf numFmtId="4" fontId="3" fillId="13" borderId="6" xfId="0" applyNumberFormat="1" applyFont="1" applyFill="1" applyBorder="1" applyAlignment="1">
      <alignment horizontal="right"/>
    </xf>
    <xf numFmtId="4" fontId="5" fillId="13" borderId="6" xfId="0" applyNumberFormat="1" applyFont="1" applyFill="1" applyBorder="1" applyAlignment="1">
      <alignment horizontal="right"/>
    </xf>
    <xf numFmtId="4" fontId="3" fillId="13" borderId="7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center" vertical="center"/>
    </xf>
    <xf numFmtId="0" fontId="0" fillId="0" borderId="21" xfId="0" applyBorder="1"/>
    <xf numFmtId="164" fontId="1" fillId="7" borderId="4" xfId="0" applyNumberFormat="1" applyFont="1" applyFill="1" applyBorder="1" applyAlignment="1">
      <alignment horizontal="center"/>
    </xf>
    <xf numFmtId="2" fontId="1" fillId="7" borderId="4" xfId="0" applyNumberFormat="1" applyFont="1" applyFill="1" applyBorder="1" applyAlignment="1">
      <alignment horizontal="center"/>
    </xf>
    <xf numFmtId="2" fontId="1" fillId="7" borderId="8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5" fillId="13" borderId="1" xfId="1" applyNumberFormat="1" applyFont="1" applyFill="1" applyBorder="1" applyAlignment="1">
      <alignment horizontal="right" vertical="center"/>
    </xf>
    <xf numFmtId="0" fontId="5" fillId="13" borderId="1" xfId="1" applyFont="1" applyFill="1" applyBorder="1" applyAlignment="1">
      <alignment horizontal="right" vertical="center"/>
    </xf>
    <xf numFmtId="0" fontId="0" fillId="6" borderId="1" xfId="0" applyFill="1" applyBorder="1" applyAlignment="1">
      <alignment horizontal="right" vertical="center"/>
    </xf>
    <xf numFmtId="2" fontId="12" fillId="0" borderId="1" xfId="0" applyNumberFormat="1" applyFont="1" applyFill="1" applyBorder="1" applyAlignment="1">
      <alignment horizontal="right" vertical="center"/>
    </xf>
    <xf numFmtId="0" fontId="0" fillId="6" borderId="1" xfId="0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5" fillId="1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9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10" borderId="6" xfId="0" applyFont="1" applyFill="1" applyBorder="1" applyAlignment="1">
      <alignment horizontal="left" vertical="center" wrapText="1"/>
    </xf>
    <xf numFmtId="0" fontId="4" fillId="10" borderId="9" xfId="0" applyFont="1" applyFill="1" applyBorder="1" applyAlignment="1">
      <alignment horizontal="left" vertical="center" wrapText="1"/>
    </xf>
    <xf numFmtId="0" fontId="4" fillId="1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</cellXfs>
  <cellStyles count="5">
    <cellStyle name="Hyperlink" xfId="3" builtinId="8"/>
    <cellStyle name="Input" xfId="1" builtinId="20"/>
    <cellStyle name="Normal" xfId="0" builtinId="0"/>
    <cellStyle name="Note" xfId="2" builtinId="10"/>
    <cellStyle name="Percent" xfId="4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antilipids.com/product/880220" TargetMode="External"/><Relationship Id="rId2" Type="http://schemas.openxmlformats.org/officeDocument/2006/relationships/hyperlink" Target="https://avantilipids.com/product/850365/" TargetMode="External"/><Relationship Id="rId1" Type="http://schemas.openxmlformats.org/officeDocument/2006/relationships/hyperlink" Target="https://avantilipids.com/product/830865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04"/>
  <sheetViews>
    <sheetView tabSelected="1" zoomScaleNormal="100" workbookViewId="0"/>
  </sheetViews>
  <sheetFormatPr defaultRowHeight="13.2" x14ac:dyDescent="0.25"/>
  <cols>
    <col min="1" max="1" width="40.44140625" bestFit="1" customWidth="1"/>
    <col min="2" max="2" width="29.6640625" bestFit="1" customWidth="1"/>
    <col min="3" max="3" width="12.109375" bestFit="1" customWidth="1"/>
    <col min="4" max="4" width="13" customWidth="1"/>
    <col min="5" max="5" width="21" customWidth="1"/>
    <col min="6" max="6" width="27.5546875" bestFit="1" customWidth="1"/>
    <col min="7" max="7" width="10.109375" bestFit="1" customWidth="1"/>
    <col min="8" max="8" width="12.33203125" bestFit="1" customWidth="1"/>
    <col min="9" max="9" width="19" bestFit="1" customWidth="1"/>
    <col min="10" max="10" width="16.88671875" bestFit="1" customWidth="1"/>
    <col min="11" max="11" width="10" bestFit="1" customWidth="1"/>
    <col min="12" max="12" width="14" bestFit="1" customWidth="1"/>
    <col min="13" max="13" width="11" customWidth="1"/>
    <col min="14" max="14" width="13" customWidth="1"/>
    <col min="15" max="15" width="16.6640625" customWidth="1"/>
    <col min="16" max="16" width="13.88671875" customWidth="1"/>
    <col min="17" max="17" width="19.33203125" customWidth="1"/>
    <col min="18" max="18" width="10" bestFit="1" customWidth="1"/>
    <col min="19" max="19" width="14.44140625" customWidth="1"/>
  </cols>
  <sheetData>
    <row r="1" spans="1:22" x14ac:dyDescent="0.25">
      <c r="A1" s="4"/>
    </row>
    <row r="2" spans="1:22" x14ac:dyDescent="0.25">
      <c r="A2" s="148" t="s">
        <v>65</v>
      </c>
      <c r="B2" s="149"/>
      <c r="C2" s="150"/>
      <c r="E2" s="139" t="s">
        <v>85</v>
      </c>
    </row>
    <row r="3" spans="1:22" ht="17.399999999999999" x14ac:dyDescent="0.25">
      <c r="A3" s="144"/>
      <c r="B3" s="142"/>
      <c r="C3" s="144"/>
      <c r="E3" s="146" t="s">
        <v>83</v>
      </c>
    </row>
    <row r="4" spans="1:22" x14ac:dyDescent="0.25">
      <c r="A4" s="145" t="s">
        <v>42</v>
      </c>
      <c r="B4" s="140">
        <v>1</v>
      </c>
      <c r="C4" s="147" t="s">
        <v>3</v>
      </c>
      <c r="E4" s="181" t="s">
        <v>84</v>
      </c>
    </row>
    <row r="5" spans="1:22" x14ac:dyDescent="0.25">
      <c r="A5" s="145" t="s">
        <v>43</v>
      </c>
      <c r="B5" s="141">
        <v>10</v>
      </c>
      <c r="C5" s="147" t="s">
        <v>4</v>
      </c>
      <c r="E5" s="182" t="s">
        <v>16</v>
      </c>
    </row>
    <row r="6" spans="1:22" x14ac:dyDescent="0.25">
      <c r="A6" s="144"/>
      <c r="B6" s="142"/>
      <c r="C6" s="144"/>
      <c r="E6" s="183" t="s">
        <v>67</v>
      </c>
    </row>
    <row r="7" spans="1:22" x14ac:dyDescent="0.25">
      <c r="A7" s="145" t="s">
        <v>44</v>
      </c>
      <c r="B7" s="143">
        <f>$B$4*$B$5</f>
        <v>10</v>
      </c>
      <c r="C7" s="147" t="s">
        <v>2</v>
      </c>
      <c r="E7" s="184" t="s">
        <v>66</v>
      </c>
    </row>
    <row r="8" spans="1:22" x14ac:dyDescent="0.25">
      <c r="A8" s="144"/>
      <c r="B8" s="142"/>
      <c r="C8" s="144"/>
    </row>
    <row r="12" spans="1:22" ht="12.75" customHeight="1" x14ac:dyDescent="0.25">
      <c r="A12" s="18" t="s">
        <v>30</v>
      </c>
      <c r="B12" s="7" t="s">
        <v>0</v>
      </c>
      <c r="C12" s="7" t="s">
        <v>28</v>
      </c>
      <c r="D12" s="6" t="s">
        <v>9</v>
      </c>
      <c r="E12" s="60" t="s">
        <v>29</v>
      </c>
      <c r="F12" s="18" t="s">
        <v>68</v>
      </c>
      <c r="G12" s="15" t="s">
        <v>25</v>
      </c>
      <c r="H12" s="7" t="s">
        <v>24</v>
      </c>
      <c r="I12" s="7" t="s">
        <v>87</v>
      </c>
      <c r="J12" s="6" t="s">
        <v>38</v>
      </c>
      <c r="K12" s="7" t="s">
        <v>13</v>
      </c>
      <c r="L12" s="17" t="s">
        <v>12</v>
      </c>
      <c r="M12" s="154" t="s">
        <v>10</v>
      </c>
      <c r="N12" s="155"/>
      <c r="O12" s="155"/>
      <c r="P12" s="155"/>
      <c r="Q12" s="155"/>
      <c r="R12" s="155"/>
      <c r="S12" s="155"/>
      <c r="T12" s="155"/>
      <c r="U12" s="155"/>
      <c r="V12" s="156"/>
    </row>
    <row r="13" spans="1:22" ht="12.75" customHeight="1" x14ac:dyDescent="0.25">
      <c r="A13" s="39"/>
      <c r="B13" s="38"/>
      <c r="C13" s="38"/>
      <c r="D13" s="38"/>
      <c r="E13" s="61"/>
      <c r="F13" s="39"/>
      <c r="G13" s="38"/>
      <c r="H13" s="38"/>
      <c r="I13" s="38"/>
      <c r="J13" s="38"/>
      <c r="K13" s="38"/>
      <c r="L13" s="38"/>
      <c r="M13" s="157"/>
      <c r="N13" s="158"/>
      <c r="O13" s="158"/>
      <c r="P13" s="158"/>
      <c r="Q13" s="158"/>
      <c r="R13" s="158"/>
      <c r="S13" s="158"/>
      <c r="T13" s="158"/>
      <c r="U13" s="158"/>
      <c r="V13" s="159"/>
    </row>
    <row r="14" spans="1:22" ht="12.75" customHeight="1" x14ac:dyDescent="0.25">
      <c r="A14" s="77" t="s">
        <v>88</v>
      </c>
      <c r="B14" s="9" t="s">
        <v>78</v>
      </c>
      <c r="C14" s="133">
        <v>5801.0709999999999</v>
      </c>
      <c r="D14" s="121">
        <v>0.1</v>
      </c>
      <c r="E14" s="35">
        <f>($C14/$D$21) * $D14</f>
        <v>580.10710000000006</v>
      </c>
      <c r="F14" s="34" t="s">
        <v>27</v>
      </c>
      <c r="G14" s="81">
        <f>$E14 * $H$21 * 1000</f>
        <v>4.2458586810544352</v>
      </c>
      <c r="H14" s="82">
        <f>($G14/1000) / $C14</f>
        <v>7.3190944931624442E-7</v>
      </c>
      <c r="I14" s="137">
        <f>$H14/$H$21</f>
        <v>0.10000000000000002</v>
      </c>
      <c r="J14" s="16"/>
      <c r="K14" s="118" t="s">
        <v>7</v>
      </c>
      <c r="L14" s="28"/>
      <c r="M14" s="160" t="s">
        <v>75</v>
      </c>
      <c r="N14" s="161"/>
      <c r="O14" s="161"/>
      <c r="P14" s="161"/>
      <c r="Q14" s="161"/>
      <c r="R14" s="161"/>
      <c r="S14" s="161"/>
      <c r="T14" s="161"/>
      <c r="U14" s="161"/>
      <c r="V14" s="162"/>
    </row>
    <row r="15" spans="1:22" ht="12.75" customHeight="1" x14ac:dyDescent="0.25">
      <c r="A15" s="8" t="s">
        <v>52</v>
      </c>
      <c r="B15" s="10" t="s">
        <v>11</v>
      </c>
      <c r="C15" s="12">
        <v>726.97900000000004</v>
      </c>
      <c r="D15" s="122">
        <v>0</v>
      </c>
      <c r="E15" s="35">
        <f t="shared" ref="E15:E19" si="0">($C15/$D$21) * $D15</f>
        <v>0</v>
      </c>
      <c r="F15" s="34" t="s">
        <v>27</v>
      </c>
      <c r="G15" s="81">
        <f t="shared" ref="G15:G19" si="1">$E15 * $H$21 * 1000</f>
        <v>0</v>
      </c>
      <c r="H15" s="82">
        <f t="shared" ref="H15:H19" si="2">($G15/1000) / $C15</f>
        <v>0</v>
      </c>
      <c r="I15" s="137">
        <f t="shared" ref="I15:I19" si="3">$H15/$H$21</f>
        <v>0</v>
      </c>
      <c r="J15" s="16"/>
      <c r="K15" s="118" t="s">
        <v>7</v>
      </c>
      <c r="L15" s="28"/>
      <c r="M15" s="178" t="s">
        <v>76</v>
      </c>
      <c r="N15" s="179"/>
      <c r="O15" s="179"/>
      <c r="P15" s="179"/>
      <c r="Q15" s="179"/>
      <c r="R15" s="179"/>
      <c r="S15" s="179"/>
      <c r="T15" s="179"/>
      <c r="U15" s="179"/>
      <c r="V15" s="180"/>
    </row>
    <row r="16" spans="1:22" ht="12.75" customHeight="1" x14ac:dyDescent="0.25">
      <c r="A16" s="78" t="s">
        <v>51</v>
      </c>
      <c r="B16" s="11" t="s">
        <v>8</v>
      </c>
      <c r="C16" s="13">
        <v>790.14499999999998</v>
      </c>
      <c r="D16" s="123">
        <v>0.6</v>
      </c>
      <c r="E16" s="35">
        <f t="shared" si="0"/>
        <v>474.08699999999999</v>
      </c>
      <c r="F16" s="34" t="s">
        <v>27</v>
      </c>
      <c r="G16" s="81">
        <f t="shared" si="1"/>
        <v>3.469887550979903</v>
      </c>
      <c r="H16" s="82">
        <f t="shared" si="2"/>
        <v>4.3914566958974657E-6</v>
      </c>
      <c r="I16" s="137">
        <f t="shared" si="3"/>
        <v>0.6</v>
      </c>
      <c r="J16" s="16">
        <v>55</v>
      </c>
      <c r="K16" s="118" t="s">
        <v>7</v>
      </c>
      <c r="L16" s="28"/>
      <c r="M16" s="160" t="s">
        <v>6</v>
      </c>
      <c r="N16" s="161"/>
      <c r="O16" s="161"/>
      <c r="P16" s="161"/>
      <c r="Q16" s="161"/>
      <c r="R16" s="161"/>
      <c r="S16" s="161"/>
      <c r="T16" s="161"/>
      <c r="U16" s="161"/>
      <c r="V16" s="162"/>
    </row>
    <row r="17" spans="1:22" ht="14.4" x14ac:dyDescent="0.25">
      <c r="A17" s="151" t="s">
        <v>49</v>
      </c>
      <c r="B17" s="85" t="s">
        <v>80</v>
      </c>
      <c r="C17" s="86">
        <f>((33*12.0107)+(34*1.007947)+(4*14.006747)+(3*15.99943)) + (((26*12.0107)+(54*1.007947)+(1*14.006747)+(7*15.99943)+(1*30.9737624)) - ((2*1.007947)+(1*15.99943)))</f>
        <v>1040.3171093999999</v>
      </c>
      <c r="D17" s="124">
        <v>0.3</v>
      </c>
      <c r="E17" s="113">
        <f t="shared" si="0"/>
        <v>312.09513281999995</v>
      </c>
      <c r="F17" s="87">
        <v>45000</v>
      </c>
      <c r="G17" s="81">
        <f t="shared" si="1"/>
        <v>2.2842537679656627</v>
      </c>
      <c r="H17" s="82">
        <f t="shared" si="2"/>
        <v>2.1957283479487328E-6</v>
      </c>
      <c r="I17" s="137">
        <f t="shared" si="3"/>
        <v>0.3</v>
      </c>
      <c r="J17" s="88">
        <f>$J$16</f>
        <v>55</v>
      </c>
      <c r="K17" s="119"/>
      <c r="L17" s="89"/>
      <c r="M17" s="163" t="s">
        <v>14</v>
      </c>
      <c r="N17" s="164"/>
      <c r="O17" s="164"/>
      <c r="P17" s="164"/>
      <c r="Q17" s="164"/>
      <c r="R17" s="164"/>
      <c r="S17" s="164"/>
      <c r="T17" s="164"/>
      <c r="U17" s="164"/>
      <c r="V17" s="165"/>
    </row>
    <row r="18" spans="1:22" x14ac:dyDescent="0.25">
      <c r="A18" s="152"/>
      <c r="B18" s="90" t="s">
        <v>81</v>
      </c>
      <c r="C18" s="91">
        <f>106.421 + $C$17</f>
        <v>1146.7381094</v>
      </c>
      <c r="D18" s="124">
        <v>0</v>
      </c>
      <c r="E18" s="92">
        <f t="shared" si="0"/>
        <v>0</v>
      </c>
      <c r="F18" s="93">
        <v>52500</v>
      </c>
      <c r="G18" s="81">
        <f t="shared" si="1"/>
        <v>0</v>
      </c>
      <c r="H18" s="82">
        <f t="shared" si="2"/>
        <v>0</v>
      </c>
      <c r="I18" s="137">
        <f t="shared" si="3"/>
        <v>0</v>
      </c>
      <c r="J18" s="94">
        <f>$J$16</f>
        <v>55</v>
      </c>
      <c r="K18" s="95"/>
      <c r="L18" s="96"/>
      <c r="M18" s="166" t="s">
        <v>22</v>
      </c>
      <c r="N18" s="167"/>
      <c r="O18" s="167"/>
      <c r="P18" s="167"/>
      <c r="Q18" s="167"/>
      <c r="R18" s="167"/>
      <c r="S18" s="167"/>
      <c r="T18" s="167"/>
      <c r="U18" s="167"/>
      <c r="V18" s="168"/>
    </row>
    <row r="19" spans="1:22" x14ac:dyDescent="0.25">
      <c r="A19" s="153"/>
      <c r="B19" s="97" t="s">
        <v>82</v>
      </c>
      <c r="C19" s="98">
        <f>63.546 + $C$17</f>
        <v>1103.8631094</v>
      </c>
      <c r="D19" s="125">
        <v>0</v>
      </c>
      <c r="E19" s="99">
        <f t="shared" si="0"/>
        <v>0</v>
      </c>
      <c r="F19" s="100">
        <v>66000</v>
      </c>
      <c r="G19" s="81">
        <f t="shared" si="1"/>
        <v>0</v>
      </c>
      <c r="H19" s="82">
        <f t="shared" si="2"/>
        <v>0</v>
      </c>
      <c r="I19" s="137">
        <f t="shared" si="3"/>
        <v>0</v>
      </c>
      <c r="J19" s="101">
        <v>55</v>
      </c>
      <c r="K19" s="102"/>
      <c r="L19" s="103"/>
      <c r="M19" s="175" t="s">
        <v>55</v>
      </c>
      <c r="N19" s="176"/>
      <c r="O19" s="176"/>
      <c r="P19" s="176"/>
      <c r="Q19" s="176"/>
      <c r="R19" s="176"/>
      <c r="S19" s="176"/>
      <c r="T19" s="176"/>
      <c r="U19" s="176"/>
      <c r="V19" s="177"/>
    </row>
    <row r="20" spans="1:22" ht="13.8" thickBot="1" x14ac:dyDescent="0.3">
      <c r="A20" s="40"/>
      <c r="B20" s="41"/>
      <c r="C20" s="42"/>
      <c r="D20" s="43"/>
      <c r="E20" s="62"/>
      <c r="F20" s="43"/>
      <c r="G20" s="74"/>
      <c r="H20" s="43"/>
      <c r="I20" s="43"/>
      <c r="J20" s="43"/>
      <c r="K20" s="43"/>
      <c r="L20" s="43"/>
      <c r="M20" s="169"/>
      <c r="N20" s="170"/>
      <c r="O20" s="170"/>
      <c r="P20" s="170"/>
      <c r="Q20" s="170"/>
      <c r="R20" s="170"/>
      <c r="S20" s="170"/>
      <c r="T20" s="170"/>
      <c r="U20" s="170"/>
      <c r="V20" s="171"/>
    </row>
    <row r="21" spans="1:22" ht="14.4" thickTop="1" thickBot="1" x14ac:dyDescent="0.3">
      <c r="A21" s="114"/>
      <c r="B21" s="116"/>
      <c r="C21" s="117"/>
      <c r="D21" s="135">
        <f>SUM($D$14:$D$19)</f>
        <v>1</v>
      </c>
      <c r="E21" s="46">
        <f>SUM($E$14:$E$19)</f>
        <v>1366.2892328200001</v>
      </c>
      <c r="F21" s="45"/>
      <c r="G21" s="136">
        <f>SUM($G$14:$G$19)</f>
        <v>10</v>
      </c>
      <c r="H21" s="138">
        <f>($B$7/1000) / $E$21</f>
        <v>7.3190944931624425E-6</v>
      </c>
      <c r="I21" s="136">
        <f>SUM(I14:I19)</f>
        <v>1</v>
      </c>
      <c r="J21" s="134"/>
      <c r="K21" s="37"/>
      <c r="L21" s="37"/>
      <c r="M21" s="172"/>
      <c r="N21" s="172"/>
      <c r="O21" s="172"/>
      <c r="P21" s="172"/>
      <c r="Q21" s="172"/>
      <c r="R21" s="172"/>
      <c r="S21" s="172"/>
      <c r="T21" s="172"/>
      <c r="U21" s="172"/>
      <c r="V21" s="172"/>
    </row>
    <row r="22" spans="1:22" ht="13.8" thickTop="1" x14ac:dyDescent="0.25">
      <c r="A22" s="52"/>
      <c r="B22" s="115"/>
      <c r="C22" s="53"/>
      <c r="D22" s="54" t="s">
        <v>35</v>
      </c>
      <c r="E22" s="54" t="s">
        <v>36</v>
      </c>
      <c r="F22" s="55"/>
      <c r="G22" s="54" t="s">
        <v>33</v>
      </c>
      <c r="H22" s="54" t="s">
        <v>34</v>
      </c>
      <c r="I22" s="54" t="s">
        <v>35</v>
      </c>
      <c r="J22" s="54" t="s">
        <v>37</v>
      </c>
      <c r="K22" s="52"/>
      <c r="L22" s="52"/>
      <c r="M22" s="174"/>
      <c r="N22" s="174"/>
      <c r="O22" s="174"/>
      <c r="P22" s="174"/>
      <c r="Q22" s="174"/>
      <c r="R22" s="174"/>
      <c r="S22" s="174"/>
      <c r="T22" s="174"/>
      <c r="U22" s="174"/>
      <c r="V22" s="174"/>
    </row>
    <row r="23" spans="1:22" x14ac:dyDescent="0.25">
      <c r="A23" s="48"/>
      <c r="B23" s="49"/>
      <c r="C23" s="50"/>
      <c r="D23" s="51"/>
      <c r="E23" s="44"/>
      <c r="F23" s="44"/>
      <c r="G23" s="44"/>
      <c r="H23" s="44"/>
      <c r="I23" s="44"/>
      <c r="J23" s="44"/>
      <c r="K23" s="44"/>
      <c r="L23" s="44"/>
      <c r="M23" s="173"/>
      <c r="N23" s="173"/>
      <c r="O23" s="173"/>
      <c r="P23" s="173"/>
      <c r="Q23" s="173"/>
      <c r="R23" s="173"/>
      <c r="S23" s="173"/>
      <c r="T23" s="173"/>
      <c r="U23" s="173"/>
      <c r="V23" s="173"/>
    </row>
    <row r="24" spans="1:22" x14ac:dyDescent="0.25">
      <c r="A24" s="36"/>
      <c r="B24" s="126" t="s">
        <v>79</v>
      </c>
      <c r="C24" s="1"/>
      <c r="D24" s="4"/>
      <c r="H24" s="23"/>
    </row>
    <row r="25" spans="1:22" x14ac:dyDescent="0.25">
      <c r="B25" s="30" t="s">
        <v>86</v>
      </c>
    </row>
    <row r="26" spans="1:22" x14ac:dyDescent="0.25">
      <c r="B26" s="30"/>
      <c r="I26" s="23"/>
    </row>
    <row r="27" spans="1:22" x14ac:dyDescent="0.25">
      <c r="J27" s="31"/>
    </row>
    <row r="28" spans="1:22" x14ac:dyDescent="0.25">
      <c r="A28" s="148" t="s">
        <v>60</v>
      </c>
      <c r="B28" s="149"/>
      <c r="C28" s="150"/>
      <c r="J28" s="31"/>
    </row>
    <row r="29" spans="1:22" x14ac:dyDescent="0.25">
      <c r="A29" s="44"/>
      <c r="B29" s="44"/>
      <c r="C29" s="44"/>
      <c r="H29" s="23"/>
      <c r="I29" s="23"/>
      <c r="J29" s="31"/>
      <c r="K29" s="72"/>
      <c r="M29" s="26"/>
      <c r="N29" s="73"/>
      <c r="O29" s="72"/>
    </row>
    <row r="30" spans="1:22" x14ac:dyDescent="0.25">
      <c r="A30" s="21" t="s">
        <v>39</v>
      </c>
      <c r="B30" s="128">
        <f>AVERAGE(0.4809706,0.481249,0.4821378)</f>
        <v>0.48145246666666669</v>
      </c>
      <c r="C30" s="21" t="s">
        <v>26</v>
      </c>
      <c r="J30" s="31"/>
      <c r="M30" s="26"/>
      <c r="N30" s="23"/>
      <c r="O30" s="72"/>
    </row>
    <row r="31" spans="1:22" x14ac:dyDescent="0.25">
      <c r="A31" s="5" t="s">
        <v>73</v>
      </c>
      <c r="B31" s="128">
        <v>1000</v>
      </c>
      <c r="C31" s="5" t="s">
        <v>17</v>
      </c>
      <c r="J31" s="31"/>
      <c r="M31" s="72"/>
      <c r="N31" s="72"/>
    </row>
    <row r="32" spans="1:22" x14ac:dyDescent="0.25">
      <c r="A32" s="21" t="s">
        <v>50</v>
      </c>
      <c r="B32" s="128">
        <f>1000+1000</f>
        <v>2000</v>
      </c>
      <c r="C32" s="21" t="s">
        <v>17</v>
      </c>
      <c r="D32" s="4"/>
      <c r="J32" s="31"/>
      <c r="M32" s="72"/>
      <c r="N32" s="72"/>
    </row>
    <row r="33" spans="1:13" x14ac:dyDescent="0.25">
      <c r="A33" s="21" t="s">
        <v>72</v>
      </c>
      <c r="B33" s="128">
        <v>2</v>
      </c>
      <c r="C33" s="21" t="s">
        <v>17</v>
      </c>
      <c r="D33" s="4"/>
      <c r="H33" s="27"/>
      <c r="I33" s="27"/>
      <c r="J33" s="31"/>
    </row>
    <row r="34" spans="1:13" x14ac:dyDescent="0.25">
      <c r="A34" s="5" t="s">
        <v>58</v>
      </c>
      <c r="B34" s="129">
        <v>1</v>
      </c>
      <c r="C34" s="5" t="s">
        <v>59</v>
      </c>
      <c r="D34" s="4"/>
      <c r="J34" s="31"/>
    </row>
    <row r="35" spans="1:13" x14ac:dyDescent="0.25">
      <c r="A35" s="50"/>
      <c r="B35" s="44"/>
      <c r="C35" s="50"/>
      <c r="D35" s="4"/>
    </row>
    <row r="36" spans="1:13" x14ac:dyDescent="0.25">
      <c r="A36" s="5" t="s">
        <v>18</v>
      </c>
      <c r="B36" s="104">
        <f>($B$32+$B$33)/$B$33</f>
        <v>1001</v>
      </c>
      <c r="C36" s="20"/>
      <c r="D36" s="4"/>
      <c r="M36" s="27"/>
    </row>
    <row r="37" spans="1:13" ht="13.8" x14ac:dyDescent="0.25">
      <c r="A37" s="19" t="s">
        <v>89</v>
      </c>
      <c r="B37" s="105">
        <f>(($D$17*$F$17)/SUM($D$17:$D$19))+(($D$18*$F$18)/SUM($D$17:$D$19))+(($D$19*$F$19)/SUM($D$17:$D$19))</f>
        <v>45000</v>
      </c>
      <c r="C37" s="19" t="s">
        <v>23</v>
      </c>
      <c r="D37" s="30" t="s">
        <v>56</v>
      </c>
    </row>
    <row r="38" spans="1:13" x14ac:dyDescent="0.25">
      <c r="A38" s="21" t="s">
        <v>45</v>
      </c>
      <c r="B38" s="106">
        <f>($B$30/$B$37/$B$34)*($B$36)</f>
        <v>1.0709642647407409E-2</v>
      </c>
      <c r="C38" s="21" t="s">
        <v>15</v>
      </c>
      <c r="D38" s="30" t="s">
        <v>56</v>
      </c>
    </row>
    <row r="39" spans="1:13" x14ac:dyDescent="0.25">
      <c r="A39" s="5" t="s">
        <v>48</v>
      </c>
      <c r="B39" s="107">
        <f xml:space="preserve"> ($C$17*$D$17/SUM($D$17:$D$19)) + ($C$18*$D$18/SUM($D$17:$D$19)) + ($C$19*$D$19/SUM($D$17:$D$19))</f>
        <v>1040.3171093999999</v>
      </c>
      <c r="C39" s="5" t="s">
        <v>1</v>
      </c>
      <c r="D39" s="30" t="s">
        <v>56</v>
      </c>
    </row>
    <row r="40" spans="1:13" x14ac:dyDescent="0.25">
      <c r="A40" s="5" t="s">
        <v>57</v>
      </c>
      <c r="B40" s="112">
        <f>$B$38*($B$31*10^-6)*$B$39*1000</f>
        <v>11.141424481657838</v>
      </c>
      <c r="C40" s="25" t="s">
        <v>2</v>
      </c>
      <c r="D40" s="30" t="s">
        <v>56</v>
      </c>
      <c r="L40" s="4"/>
    </row>
    <row r="41" spans="1:13" x14ac:dyDescent="0.25">
      <c r="A41" s="44"/>
      <c r="B41" s="44"/>
      <c r="C41" s="44"/>
      <c r="L41" s="26"/>
      <c r="M41" s="4"/>
    </row>
    <row r="45" spans="1:13" x14ac:dyDescent="0.25">
      <c r="A45" s="18" t="s">
        <v>77</v>
      </c>
      <c r="B45" s="18" t="s">
        <v>40</v>
      </c>
      <c r="C45" s="120"/>
    </row>
    <row r="46" spans="1:13" x14ac:dyDescent="0.25">
      <c r="A46" s="39"/>
      <c r="B46" s="47"/>
      <c r="C46" s="47"/>
    </row>
    <row r="47" spans="1:13" x14ac:dyDescent="0.25">
      <c r="A47" s="56" t="s">
        <v>62</v>
      </c>
      <c r="B47" s="108">
        <f>$H17/$B$38 * (1000000)</f>
        <v>205.02349333572533</v>
      </c>
      <c r="C47" s="59" t="s">
        <v>17</v>
      </c>
    </row>
    <row r="48" spans="1:13" x14ac:dyDescent="0.25">
      <c r="A48" s="57" t="s">
        <v>63</v>
      </c>
      <c r="B48" s="108">
        <f>$H18/$B$38 * (1000000)</f>
        <v>0</v>
      </c>
      <c r="C48" s="58" t="s">
        <v>17</v>
      </c>
    </row>
    <row r="49" spans="1:16" x14ac:dyDescent="0.25">
      <c r="A49" s="79" t="s">
        <v>64</v>
      </c>
      <c r="B49" s="108">
        <f>$H19/$B$38 * (1000000)</f>
        <v>0</v>
      </c>
      <c r="C49" s="80" t="s">
        <v>17</v>
      </c>
    </row>
    <row r="50" spans="1:16" x14ac:dyDescent="0.25">
      <c r="A50" s="39"/>
      <c r="B50" s="47"/>
      <c r="C50" s="47"/>
    </row>
    <row r="54" spans="1:16" x14ac:dyDescent="0.25">
      <c r="A54" s="14" t="s">
        <v>74</v>
      </c>
      <c r="B54" s="64" t="s">
        <v>41</v>
      </c>
      <c r="C54" s="69" t="s">
        <v>40</v>
      </c>
      <c r="D54" s="20"/>
      <c r="E54" s="70"/>
    </row>
    <row r="55" spans="1:16" x14ac:dyDescent="0.25">
      <c r="A55" s="44"/>
      <c r="B55" s="65"/>
      <c r="C55" s="65"/>
      <c r="D55" s="71"/>
      <c r="E55" s="44"/>
    </row>
    <row r="56" spans="1:16" x14ac:dyDescent="0.25">
      <c r="A56" s="5" t="s">
        <v>46</v>
      </c>
      <c r="B56" s="130">
        <v>0.9</v>
      </c>
      <c r="C56" s="66">
        <f>($B56/$B$60) * $C$60</f>
        <v>4500</v>
      </c>
      <c r="D56" s="5" t="s">
        <v>17</v>
      </c>
      <c r="E56" s="5" t="s">
        <v>70</v>
      </c>
    </row>
    <row r="57" spans="1:16" x14ac:dyDescent="0.25">
      <c r="A57" s="2" t="s">
        <v>47</v>
      </c>
      <c r="B57" s="131">
        <v>0.1</v>
      </c>
      <c r="C57" s="66">
        <f t="shared" ref="C57:C58" si="4">($B57/$B$60) * $C$60</f>
        <v>500</v>
      </c>
      <c r="D57" s="5" t="s">
        <v>17</v>
      </c>
      <c r="E57" s="5" t="s">
        <v>70</v>
      </c>
    </row>
    <row r="58" spans="1:16" x14ac:dyDescent="0.25">
      <c r="A58" s="22" t="s">
        <v>71</v>
      </c>
      <c r="B58" s="132">
        <v>0</v>
      </c>
      <c r="C58" s="66">
        <f t="shared" si="4"/>
        <v>0</v>
      </c>
      <c r="D58" s="5" t="s">
        <v>17</v>
      </c>
      <c r="E58" s="5" t="s">
        <v>69</v>
      </c>
    </row>
    <row r="59" spans="1:16" ht="13.8" thickBot="1" x14ac:dyDescent="0.3">
      <c r="A59" s="43"/>
      <c r="B59" s="43"/>
      <c r="C59" s="63"/>
      <c r="D59" s="43"/>
      <c r="E59" s="44"/>
    </row>
    <row r="60" spans="1:16" ht="14.4" thickTop="1" thickBot="1" x14ac:dyDescent="0.3">
      <c r="A60" s="3" t="s">
        <v>5</v>
      </c>
      <c r="B60" s="83">
        <f>SUM(B56:B58)</f>
        <v>1</v>
      </c>
      <c r="C60" s="127">
        <v>5000</v>
      </c>
      <c r="D60" s="68" t="s">
        <v>17</v>
      </c>
      <c r="E60" s="68" t="s">
        <v>31</v>
      </c>
    </row>
    <row r="61" spans="1:16" ht="13.8" thickTop="1" x14ac:dyDescent="0.25"/>
    <row r="62" spans="1:16" x14ac:dyDescent="0.25">
      <c r="O62" s="27"/>
      <c r="P62" s="31"/>
    </row>
    <row r="63" spans="1:16" x14ac:dyDescent="0.25">
      <c r="O63" s="27"/>
      <c r="P63" s="31"/>
    </row>
    <row r="64" spans="1:16" x14ac:dyDescent="0.25">
      <c r="A64" s="14" t="s">
        <v>61</v>
      </c>
      <c r="B64" s="64" t="s">
        <v>41</v>
      </c>
      <c r="C64" s="64" t="s">
        <v>40</v>
      </c>
      <c r="D64" s="20"/>
      <c r="E64" s="20"/>
      <c r="O64" s="27"/>
      <c r="P64" s="31"/>
    </row>
    <row r="65" spans="1:15" x14ac:dyDescent="0.25">
      <c r="A65" s="44"/>
      <c r="B65" s="65"/>
      <c r="C65" s="65"/>
      <c r="D65" s="44"/>
      <c r="E65" s="44"/>
    </row>
    <row r="66" spans="1:15" x14ac:dyDescent="0.25">
      <c r="A66" s="5" t="s">
        <v>53</v>
      </c>
      <c r="B66" s="109">
        <v>0.1</v>
      </c>
      <c r="C66" s="66">
        <f>($B66/$B$70) * $B$5 * 1000</f>
        <v>1000</v>
      </c>
      <c r="D66" s="5" t="s">
        <v>17</v>
      </c>
      <c r="E66" s="20" t="s">
        <v>19</v>
      </c>
    </row>
    <row r="67" spans="1:15" x14ac:dyDescent="0.25">
      <c r="A67" s="2" t="s">
        <v>54</v>
      </c>
      <c r="B67" s="110">
        <v>0.1</v>
      </c>
      <c r="C67" s="66">
        <f>($B67/$B$70) * $B$5 * 1000</f>
        <v>1000</v>
      </c>
      <c r="D67" s="5" t="s">
        <v>17</v>
      </c>
      <c r="E67" s="5" t="s">
        <v>21</v>
      </c>
    </row>
    <row r="68" spans="1:15" x14ac:dyDescent="0.25">
      <c r="A68" s="22" t="s">
        <v>32</v>
      </c>
      <c r="B68" s="111">
        <v>0.8</v>
      </c>
      <c r="C68" s="66">
        <f>($B68/$B$70) * $B$5 * 1000</f>
        <v>8000</v>
      </c>
      <c r="D68" s="5" t="s">
        <v>17</v>
      </c>
      <c r="E68" s="20" t="s">
        <v>20</v>
      </c>
      <c r="N68" s="30"/>
    </row>
    <row r="69" spans="1:15" ht="13.8" thickBot="1" x14ac:dyDescent="0.3">
      <c r="A69" s="43"/>
      <c r="B69" s="43"/>
      <c r="C69" s="63"/>
      <c r="D69" s="43"/>
      <c r="E69" s="43"/>
      <c r="N69" s="29"/>
    </row>
    <row r="70" spans="1:15" ht="14.4" thickTop="1" thickBot="1" x14ac:dyDescent="0.3">
      <c r="A70" s="3" t="s">
        <v>5</v>
      </c>
      <c r="B70" s="84">
        <f>SUM($B$66:$B$68)</f>
        <v>1</v>
      </c>
      <c r="C70" s="67">
        <f>SUM($C$66:$C$68)</f>
        <v>10000</v>
      </c>
      <c r="D70" s="68" t="s">
        <v>17</v>
      </c>
      <c r="E70" s="68" t="s">
        <v>31</v>
      </c>
      <c r="N70" s="30"/>
    </row>
    <row r="71" spans="1:15" ht="13.8" thickTop="1" x14ac:dyDescent="0.25">
      <c r="N71" s="30"/>
    </row>
    <row r="72" spans="1:15" x14ac:dyDescent="0.25">
      <c r="N72" s="30"/>
    </row>
    <row r="73" spans="1:15" x14ac:dyDescent="0.25">
      <c r="N73" s="30"/>
      <c r="O73" s="24"/>
    </row>
    <row r="74" spans="1:15" x14ac:dyDescent="0.25">
      <c r="N74" s="30"/>
      <c r="O74" s="26"/>
    </row>
    <row r="75" spans="1:15" x14ac:dyDescent="0.25">
      <c r="N75" s="30"/>
      <c r="O75" s="27"/>
    </row>
    <row r="78" spans="1:15" x14ac:dyDescent="0.25">
      <c r="N78" s="30"/>
    </row>
    <row r="79" spans="1:15" x14ac:dyDescent="0.25">
      <c r="N79" s="30"/>
    </row>
    <row r="80" spans="1:15" x14ac:dyDescent="0.25">
      <c r="N80" s="30"/>
      <c r="O80" s="26"/>
    </row>
    <row r="81" spans="5:16" x14ac:dyDescent="0.25">
      <c r="N81" s="30"/>
      <c r="O81" s="26"/>
      <c r="P81" s="26"/>
    </row>
    <row r="82" spans="5:16" x14ac:dyDescent="0.25">
      <c r="N82" s="32"/>
      <c r="O82" s="33"/>
      <c r="P82" s="27"/>
    </row>
    <row r="83" spans="5:16" x14ac:dyDescent="0.25">
      <c r="F83" s="23"/>
      <c r="N83" s="30"/>
      <c r="O83" s="26"/>
    </row>
    <row r="85" spans="5:16" x14ac:dyDescent="0.25">
      <c r="E85" s="27"/>
    </row>
    <row r="86" spans="5:16" x14ac:dyDescent="0.25">
      <c r="N86" s="30"/>
      <c r="O86" s="4"/>
    </row>
    <row r="87" spans="5:16" x14ac:dyDescent="0.25">
      <c r="N87" s="30"/>
    </row>
    <row r="88" spans="5:16" x14ac:dyDescent="0.25">
      <c r="N88" s="30"/>
    </row>
    <row r="89" spans="5:16" x14ac:dyDescent="0.25">
      <c r="N89" s="30"/>
      <c r="O89" s="26"/>
    </row>
    <row r="90" spans="5:16" x14ac:dyDescent="0.25">
      <c r="N90" s="32"/>
      <c r="O90" s="33"/>
    </row>
    <row r="91" spans="5:16" x14ac:dyDescent="0.25">
      <c r="N91" s="30"/>
      <c r="O91" s="26"/>
    </row>
    <row r="104" spans="2:3" x14ac:dyDescent="0.25">
      <c r="B104" s="75"/>
      <c r="C104" s="76"/>
    </row>
  </sheetData>
  <mergeCells count="15">
    <mergeCell ref="A28:C28"/>
    <mergeCell ref="A2:C2"/>
    <mergeCell ref="A17:A19"/>
    <mergeCell ref="M12:V12"/>
    <mergeCell ref="M13:V13"/>
    <mergeCell ref="M14:V14"/>
    <mergeCell ref="M17:V17"/>
    <mergeCell ref="M18:V18"/>
    <mergeCell ref="M20:V20"/>
    <mergeCell ref="M21:V21"/>
    <mergeCell ref="M23:V23"/>
    <mergeCell ref="M22:V22"/>
    <mergeCell ref="M19:V19"/>
    <mergeCell ref="M15:V15"/>
    <mergeCell ref="M16:V16"/>
  </mergeCells>
  <conditionalFormatting sqref="G21">
    <cfRule type="cellIs" dxfId="10" priority="69" operator="notEqual">
      <formula>$B$7</formula>
    </cfRule>
  </conditionalFormatting>
  <conditionalFormatting sqref="C70">
    <cfRule type="cellIs" priority="12" operator="notEqual">
      <formula>$B$5*1000</formula>
    </cfRule>
  </conditionalFormatting>
  <conditionalFormatting sqref="D21 B70">
    <cfRule type="cellIs" dxfId="9" priority="75" operator="notEqual">
      <formula>1</formula>
    </cfRule>
  </conditionalFormatting>
  <conditionalFormatting sqref="B47:B49">
    <cfRule type="cellIs" dxfId="8" priority="76" operator="greaterThan">
      <formula>$B$31</formula>
    </cfRule>
  </conditionalFormatting>
  <conditionalFormatting sqref="B60">
    <cfRule type="cellIs" dxfId="7" priority="8" operator="notEqual">
      <formula>1</formula>
    </cfRule>
  </conditionalFormatting>
  <conditionalFormatting sqref="I14">
    <cfRule type="cellIs" dxfId="6" priority="7" operator="notEqual">
      <formula>$D$14</formula>
    </cfRule>
  </conditionalFormatting>
  <conditionalFormatting sqref="I15">
    <cfRule type="cellIs" dxfId="5" priority="6" operator="notEqual">
      <formula>$D$15</formula>
    </cfRule>
  </conditionalFormatting>
  <conditionalFormatting sqref="I16">
    <cfRule type="cellIs" dxfId="4" priority="5" operator="notEqual">
      <formula>$D$16</formula>
    </cfRule>
  </conditionalFormatting>
  <conditionalFormatting sqref="I17">
    <cfRule type="cellIs" dxfId="3" priority="4" operator="notEqual">
      <formula>$D$17</formula>
    </cfRule>
  </conditionalFormatting>
  <conditionalFormatting sqref="I18">
    <cfRule type="cellIs" dxfId="2" priority="3" operator="notEqual">
      <formula>$D$18</formula>
    </cfRule>
  </conditionalFormatting>
  <conditionalFormatting sqref="I19">
    <cfRule type="cellIs" dxfId="1" priority="2" operator="notEqual">
      <formula>$D$19</formula>
    </cfRule>
  </conditionalFormatting>
  <conditionalFormatting sqref="H21">
    <cfRule type="cellIs" dxfId="0" priority="1" operator="notEqual">
      <formula>SUM($H$14:$H$19)</formula>
    </cfRule>
  </conditionalFormatting>
  <hyperlinks>
    <hyperlink ref="K15" r:id="rId1"/>
    <hyperlink ref="K16" r:id="rId2"/>
    <hyperlink ref="K14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SHSC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</dc:creator>
  <cp:lastModifiedBy>KY</cp:lastModifiedBy>
  <dcterms:created xsi:type="dcterms:W3CDTF">2011-04-13T22:00:04Z</dcterms:created>
  <dcterms:modified xsi:type="dcterms:W3CDTF">2021-04-30T05:09:33Z</dcterms:modified>
</cp:coreProperties>
</file>