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16.xml" ContentType="application/vnd.ms-office.chartcolorstyle+xml"/>
  <Override PartName="/xl/charts/style16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555" yWindow="765" windowWidth="14805" windowHeight="8010" activeTab="3"/>
  </bookViews>
  <sheets>
    <sheet name="Conductance" sheetId="6" r:id="rId1"/>
    <sheet name="ΔmV and Equivalent Isc" sheetId="7" r:id="rId2"/>
    <sheet name="Permeability (mS.cm^-2)" sheetId="35" r:id="rId3"/>
    <sheet name="NaCl activity" sheetId="36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7" l="1"/>
  <c r="I11" i="7"/>
  <c r="J10" i="7"/>
  <c r="I10" i="7"/>
  <c r="J9" i="7"/>
  <c r="I9" i="7"/>
  <c r="J8" i="7"/>
  <c r="I8" i="7"/>
  <c r="E11" i="7" l="1"/>
  <c r="F11" i="7" s="1"/>
  <c r="F14" i="35" s="1"/>
  <c r="E10" i="7"/>
  <c r="F10" i="7" s="1"/>
  <c r="E14" i="35" s="1"/>
  <c r="E9" i="7"/>
  <c r="F9" i="7" s="1"/>
  <c r="E8" i="7"/>
  <c r="F8" i="7" s="1"/>
  <c r="E12" i="6"/>
  <c r="E18" i="6"/>
  <c r="E11" i="6"/>
  <c r="E17" i="6"/>
  <c r="E10" i="6"/>
  <c r="E22" i="6" s="1"/>
  <c r="D30" i="6" s="1"/>
  <c r="E9" i="6"/>
  <c r="E21" i="6" s="1"/>
  <c r="D29" i="6" s="1"/>
  <c r="C8" i="35"/>
  <c r="H12" i="35"/>
  <c r="H22" i="35"/>
  <c r="G12" i="35"/>
  <c r="G22" i="35"/>
  <c r="H19" i="35"/>
  <c r="G19" i="35"/>
  <c r="E4" i="7"/>
  <c r="G13" i="35"/>
  <c r="H13" i="35"/>
  <c r="H11" i="35"/>
  <c r="G11" i="35"/>
  <c r="F11" i="35"/>
  <c r="F27" i="35" s="1"/>
  <c r="E11" i="35"/>
  <c r="E27" i="35" s="1"/>
  <c r="D11" i="35"/>
  <c r="D27" i="35" s="1"/>
  <c r="C11" i="35"/>
  <c r="E16" i="6"/>
  <c r="E19" i="6"/>
  <c r="E20" i="6"/>
  <c r="E15" i="6"/>
  <c r="E13" i="6"/>
  <c r="E25" i="6"/>
  <c r="E14" i="6"/>
  <c r="E26" i="6"/>
  <c r="C14" i="6"/>
  <c r="C20" i="6"/>
  <c r="C13" i="6"/>
  <c r="C19" i="6"/>
  <c r="C12" i="6"/>
  <c r="C18" i="6" s="1"/>
  <c r="C11" i="6"/>
  <c r="C17" i="6"/>
  <c r="C10" i="6"/>
  <c r="C16" i="6" s="1"/>
  <c r="C9" i="6"/>
  <c r="C15" i="6" s="1"/>
  <c r="C30" i="6"/>
  <c r="C31" i="6"/>
  <c r="C32" i="6"/>
  <c r="C33" i="6"/>
  <c r="C34" i="6"/>
  <c r="C29" i="6"/>
  <c r="G14" i="35"/>
  <c r="G15" i="35"/>
  <c r="H14" i="35"/>
  <c r="C23" i="6"/>
  <c r="C24" i="6"/>
  <c r="C25" i="6"/>
  <c r="C26" i="6"/>
  <c r="C22" i="6"/>
  <c r="C21" i="6"/>
  <c r="E15" i="36"/>
  <c r="D15" i="36"/>
  <c r="C15" i="36"/>
  <c r="B15" i="36"/>
  <c r="D2" i="35"/>
  <c r="D3" i="35"/>
  <c r="G27" i="35"/>
  <c r="H27" i="35"/>
  <c r="H29" i="35"/>
  <c r="B32" i="35"/>
  <c r="B31" i="35"/>
  <c r="B30" i="35"/>
  <c r="C27" i="35"/>
  <c r="G29" i="35"/>
  <c r="H15" i="35"/>
  <c r="H16" i="35"/>
  <c r="G16" i="35"/>
  <c r="D34" i="6"/>
  <c r="D33" i="6"/>
  <c r="G28" i="35"/>
  <c r="H28" i="35"/>
  <c r="C4" i="35" l="1"/>
  <c r="G17" i="35" s="1"/>
  <c r="G23" i="35" s="1"/>
  <c r="G24" i="35" s="1"/>
  <c r="G32" i="35" s="1"/>
  <c r="H17" i="35"/>
  <c r="H18" i="35" s="1"/>
  <c r="H30" i="35" s="1"/>
  <c r="E24" i="6"/>
  <c r="D32" i="6" s="1"/>
  <c r="E23" i="6"/>
  <c r="D31" i="6" s="1"/>
  <c r="K10" i="7" s="1"/>
  <c r="L10" i="7" s="1"/>
  <c r="K8" i="7"/>
  <c r="L8" i="7" s="1"/>
  <c r="C12" i="35"/>
  <c r="K11" i="7"/>
  <c r="L11" i="7" s="1"/>
  <c r="F12" i="35"/>
  <c r="D14" i="35"/>
  <c r="C14" i="35"/>
  <c r="K9" i="7"/>
  <c r="L9" i="7" s="1"/>
  <c r="D12" i="35"/>
  <c r="H20" i="35" l="1"/>
  <c r="H21" i="35" s="1"/>
  <c r="H31" i="35" s="1"/>
  <c r="H23" i="35"/>
  <c r="H24" i="35" s="1"/>
  <c r="H32" i="35" s="1"/>
  <c r="G18" i="35"/>
  <c r="G30" i="35" s="1"/>
  <c r="G20" i="35"/>
  <c r="G21" i="35" s="1"/>
  <c r="G31" i="35" s="1"/>
  <c r="E12" i="35"/>
  <c r="E29" i="35"/>
  <c r="E15" i="35"/>
  <c r="E16" i="35" s="1"/>
  <c r="E17" i="35" s="1"/>
  <c r="C28" i="35"/>
  <c r="C19" i="35"/>
  <c r="C13" i="35"/>
  <c r="C22" i="35"/>
  <c r="F13" i="35"/>
  <c r="F28" i="35"/>
  <c r="F22" i="35"/>
  <c r="F19" i="35"/>
  <c r="E22" i="35"/>
  <c r="E19" i="35"/>
  <c r="E13" i="35"/>
  <c r="E28" i="35"/>
  <c r="F15" i="35"/>
  <c r="F16" i="35" s="1"/>
  <c r="F17" i="35" s="1"/>
  <c r="F29" i="35"/>
  <c r="D29" i="35"/>
  <c r="D15" i="35"/>
  <c r="D16" i="35" s="1"/>
  <c r="D17" i="35" s="1"/>
  <c r="C15" i="35"/>
  <c r="C16" i="35" s="1"/>
  <c r="C17" i="35" s="1"/>
  <c r="C29" i="35"/>
  <c r="D22" i="35"/>
  <c r="D13" i="35"/>
  <c r="D28" i="35"/>
  <c r="D19" i="35"/>
  <c r="E23" i="35" l="1"/>
  <c r="E24" i="35" s="1"/>
  <c r="E20" i="35"/>
  <c r="E21" i="35" s="1"/>
  <c r="E31" i="35" s="1"/>
  <c r="E18" i="35"/>
  <c r="F18" i="35"/>
  <c r="F23" i="35"/>
  <c r="F24" i="35" s="1"/>
  <c r="F20" i="35"/>
  <c r="F21" i="35" s="1"/>
  <c r="D23" i="35"/>
  <c r="D24" i="35" s="1"/>
  <c r="D20" i="35"/>
  <c r="D21" i="35" s="1"/>
  <c r="D31" i="35" s="1"/>
  <c r="D18" i="35"/>
  <c r="C20" i="35"/>
  <c r="C21" i="35" s="1"/>
  <c r="C18" i="35"/>
  <c r="C23" i="35"/>
  <c r="C24" i="35" s="1"/>
  <c r="E32" i="35" l="1"/>
  <c r="E30" i="35"/>
  <c r="D32" i="35"/>
  <c r="F31" i="35"/>
  <c r="F32" i="35"/>
  <c r="F30" i="35"/>
  <c r="D30" i="35"/>
  <c r="C31" i="35"/>
  <c r="C32" i="35"/>
  <c r="C30" i="35"/>
</calcChain>
</file>

<file path=xl/comments1.xml><?xml version="1.0" encoding="utf-8"?>
<comments xmlns="http://schemas.openxmlformats.org/spreadsheetml/2006/main">
  <authors>
    <author>Author</author>
  </authors>
  <commentList>
    <comment ref="F14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window diameter</t>
        </r>
      </text>
    </comment>
    <comment ref="D28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baseline conductance is used to calculate permeability,  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4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When measuring dilution potential of a monolayer grown on a filter insert, we use a blank, for tissue no blank is required</t>
        </r>
      </text>
    </comment>
    <comment ref="C7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Baseline mV is the membrane potential difference after equilibrating and before dilution</t>
        </r>
      </text>
    </comment>
    <comment ref="D7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Dilution potential difference is measured at the highest point before it starts to return to baseline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B2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NaCl concentration (baseline and dilution)  </t>
        </r>
      </text>
    </comment>
    <comment ref="C2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These figures are calculated from the "NaCl activity" sheet</t>
        </r>
      </text>
    </comment>
    <comment ref="C12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Conductance is from that calculated in the "conductance" sheet</t>
        </r>
      </text>
    </comment>
    <comment ref="C14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membrane potential difference after dilution of M side 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Membrane potential difference after s side dilution (note: - added for the purposes of calculation, as s side dilution generally gives a positive membrane potential difference. If delta mV is positive, PNa/PCl will be &lt;1 (anion selective)</t>
        </r>
      </text>
    </comment>
  </commentList>
</comments>
</file>

<file path=xl/sharedStrings.xml><?xml version="1.0" encoding="utf-8"?>
<sst xmlns="http://schemas.openxmlformats.org/spreadsheetml/2006/main" count="69" uniqueCount="61">
  <si>
    <t>mS</t>
    <phoneticPr fontId="2"/>
  </si>
  <si>
    <t>mS/cm²</t>
    <phoneticPr fontId="2"/>
  </si>
  <si>
    <t>V→</t>
    <phoneticPr fontId="2"/>
  </si>
  <si>
    <t>A→</t>
    <phoneticPr fontId="2"/>
  </si>
  <si>
    <t>open</t>
    <phoneticPr fontId="2"/>
  </si>
  <si>
    <t>mV</t>
    <phoneticPr fontId="2"/>
  </si>
  <si>
    <t>baseline</t>
  </si>
  <si>
    <t>baseline</t>
    <phoneticPr fontId="2"/>
  </si>
  <si>
    <t>control</t>
    <phoneticPr fontId="2"/>
  </si>
  <si>
    <t>mV</t>
    <phoneticPr fontId="2"/>
  </si>
  <si>
    <t>α</t>
    <phoneticPr fontId="2"/>
  </si>
  <si>
    <t>F (C/mol)</t>
    <phoneticPr fontId="2"/>
  </si>
  <si>
    <t>R (J/K・mol)</t>
    <phoneticPr fontId="2"/>
  </si>
  <si>
    <t>T (K)</t>
    <phoneticPr fontId="2"/>
  </si>
  <si>
    <t>←273+37</t>
    <phoneticPr fontId="2"/>
  </si>
  <si>
    <t>R*T</t>
    <phoneticPr fontId="2"/>
  </si>
  <si>
    <t>ΔV (mV)</t>
    <phoneticPr fontId="2"/>
  </si>
  <si>
    <t>V*F</t>
    <phoneticPr fontId="2"/>
  </si>
  <si>
    <t>PCl/PNa</t>
    <phoneticPr fontId="2"/>
  </si>
  <si>
    <t>numerator</t>
    <phoneticPr fontId="2"/>
  </si>
  <si>
    <t>denominator</t>
    <phoneticPr fontId="2"/>
  </si>
  <si>
    <t>denominator</t>
    <phoneticPr fontId="2"/>
  </si>
  <si>
    <t>PNa</t>
    <phoneticPr fontId="2"/>
  </si>
  <si>
    <t>numerator</t>
    <phoneticPr fontId="2"/>
  </si>
  <si>
    <t>PCl</t>
    <phoneticPr fontId="2"/>
  </si>
  <si>
    <r>
      <t>Gt (S/m</t>
    </r>
    <r>
      <rPr>
        <vertAlign val="superscript"/>
        <sz val="11"/>
        <color theme="1"/>
        <rFont val="Calibri"/>
        <family val="3"/>
        <charset val="128"/>
        <scheme val="minor"/>
      </rPr>
      <t>2</t>
    </r>
    <r>
      <rPr>
        <sz val="11"/>
        <color theme="1"/>
        <rFont val="Calibri"/>
        <family val="3"/>
        <charset val="128"/>
        <scheme val="minor"/>
      </rPr>
      <t>)</t>
    </r>
    <phoneticPr fontId="2"/>
  </si>
  <si>
    <r>
      <t>e</t>
    </r>
    <r>
      <rPr>
        <vertAlign val="superscript"/>
        <sz val="11"/>
        <color theme="1"/>
        <rFont val="Calibri"/>
        <family val="3"/>
        <charset val="128"/>
        <scheme val="minor"/>
      </rPr>
      <t>-vF/RT</t>
    </r>
    <phoneticPr fontId="2"/>
  </si>
  <si>
    <t>PNa/PCl</t>
    <phoneticPr fontId="2"/>
  </si>
  <si>
    <t>ΔmV</t>
    <phoneticPr fontId="2"/>
  </si>
  <si>
    <r>
      <t>N</t>
    </r>
    <r>
      <rPr>
        <sz val="11"/>
        <color theme="1"/>
        <rFont val="Calibri"/>
        <family val="2"/>
        <scheme val="minor"/>
      </rPr>
      <t>aCl</t>
    </r>
    <phoneticPr fontId="2"/>
  </si>
  <si>
    <r>
      <t>b</t>
    </r>
    <r>
      <rPr>
        <sz val="11"/>
        <color theme="1"/>
        <rFont val="Calibri"/>
        <family val="2"/>
        <scheme val="minor"/>
      </rPr>
      <t>aseline Gt (mS/cm2)</t>
    </r>
    <phoneticPr fontId="2"/>
  </si>
  <si>
    <t>y</t>
    <phoneticPr fontId="2"/>
  </si>
  <si>
    <t>x</t>
    <phoneticPr fontId="2"/>
  </si>
  <si>
    <t>control</t>
    <phoneticPr fontId="2"/>
  </si>
  <si>
    <t>-Blank</t>
    <phoneticPr fontId="2"/>
  </si>
  <si>
    <t>Blank</t>
    <phoneticPr fontId="2"/>
  </si>
  <si>
    <t>baseline</t>
    <phoneticPr fontId="2"/>
  </si>
  <si>
    <r>
      <t>cm</t>
    </r>
    <r>
      <rPr>
        <vertAlign val="superscript"/>
        <sz val="11"/>
        <color theme="1"/>
        <rFont val="Calibri"/>
        <family val="3"/>
        <charset val="128"/>
        <scheme val="minor"/>
      </rPr>
      <t>2</t>
    </r>
    <phoneticPr fontId="2"/>
  </si>
  <si>
    <t>mV</t>
    <phoneticPr fontId="2"/>
  </si>
  <si>
    <r>
      <t>baseline Gt (mS/cm</t>
    </r>
    <r>
      <rPr>
        <vertAlign val="superscript"/>
        <sz val="10"/>
        <color theme="1"/>
        <rFont val="Calibri"/>
        <family val="3"/>
        <charset val="128"/>
        <scheme val="minor"/>
      </rPr>
      <t>2</t>
    </r>
    <r>
      <rPr>
        <sz val="10"/>
        <color theme="1"/>
        <rFont val="Calibri"/>
        <family val="3"/>
        <charset val="128"/>
        <scheme val="minor"/>
      </rPr>
      <t>)</t>
    </r>
    <phoneticPr fontId="2"/>
  </si>
  <si>
    <t>Φ5mm</t>
  </si>
  <si>
    <t>Dilution</t>
  </si>
  <si>
    <t>E (mV)</t>
  </si>
  <si>
    <t>BL Gt</t>
  </si>
  <si>
    <t>Equivalent Isc</t>
  </si>
  <si>
    <t>S2-M</t>
  </si>
  <si>
    <t>S3-M</t>
  </si>
  <si>
    <t>S2-S</t>
  </si>
  <si>
    <t>S3-S</t>
  </si>
  <si>
    <t>Date</t>
  </si>
  <si>
    <t>Window area（cm²）→</t>
  </si>
  <si>
    <t>Pulse</t>
  </si>
  <si>
    <t>↓Diameter(mm)</t>
  </si>
  <si>
    <t>Baseline</t>
  </si>
  <si>
    <t>Difference</t>
  </si>
  <si>
    <t>Change</t>
  </si>
  <si>
    <t>Concentration (M)</t>
  </si>
  <si>
    <t>Activity</t>
  </si>
  <si>
    <t>Concentration (mol/L)</t>
  </si>
  <si>
    <t>Concentration (mM)</t>
  </si>
  <si>
    <t>Concentration×Activity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</si>
</sst>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.E+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28"/>
      <scheme val="minor"/>
    </font>
    <font>
      <sz val="6"/>
      <name val="Calibri"/>
      <family val="3"/>
      <charset val="128"/>
      <scheme val="minor"/>
    </font>
    <font>
      <b/>
      <sz val="11"/>
      <color theme="1"/>
      <name val="Calibri"/>
      <family val="3"/>
      <charset val="128"/>
      <scheme val="minor"/>
    </font>
    <font>
      <sz val="12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3"/>
      <charset val="128"/>
      <scheme val="minor"/>
    </font>
    <font>
      <sz val="11"/>
      <color theme="1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3"/>
      <charset val="128"/>
      <scheme val="minor"/>
    </font>
    <font>
      <b/>
      <sz val="10"/>
      <color theme="1"/>
      <name val="Calibri"/>
      <family val="3"/>
      <charset val="128"/>
      <scheme val="minor"/>
    </font>
    <font>
      <vertAlign val="superscript"/>
      <sz val="10"/>
      <color theme="1"/>
      <name val="Calibri"/>
      <family val="3"/>
      <charset val="128"/>
      <scheme val="minor"/>
    </font>
    <font>
      <sz val="10"/>
      <color theme="1"/>
      <name val="Calibri"/>
      <family val="3"/>
      <charset val="12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1" fillId="0" borderId="0">
      <alignment vertical="center"/>
    </xf>
  </cellStyleXfs>
  <cellXfs count="165">
    <xf numFmtId="0" fontId="0" fillId="0" borderId="0" xfId="0"/>
    <xf numFmtId="0" fontId="3" fillId="0" borderId="0" xfId="0" applyFont="1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right" vertical="center"/>
    </xf>
    <xf numFmtId="0" fontId="3" fillId="4" borderId="0" xfId="0" applyFont="1" applyFill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Border="1"/>
    <xf numFmtId="0" fontId="5" fillId="0" borderId="1" xfId="0" applyFont="1" applyBorder="1"/>
    <xf numFmtId="0" fontId="0" fillId="6" borderId="14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164" fontId="0" fillId="6" borderId="1" xfId="0" applyNumberFormat="1" applyFill="1" applyBorder="1" applyAlignment="1">
      <alignment vertical="center"/>
    </xf>
    <xf numFmtId="0" fontId="5" fillId="0" borderId="22" xfId="0" applyFont="1" applyBorder="1"/>
    <xf numFmtId="0" fontId="5" fillId="5" borderId="34" xfId="0" applyFont="1" applyFill="1" applyBorder="1"/>
    <xf numFmtId="2" fontId="0" fillId="6" borderId="7" xfId="0" applyNumberFormat="1" applyFill="1" applyBorder="1" applyAlignment="1">
      <alignment vertical="center"/>
    </xf>
    <xf numFmtId="0" fontId="8" fillId="0" borderId="0" xfId="0" applyFont="1"/>
    <xf numFmtId="0" fontId="8" fillId="2" borderId="41" xfId="0" applyFont="1" applyFill="1" applyBorder="1"/>
    <xf numFmtId="0" fontId="8" fillId="2" borderId="42" xfId="0" applyFont="1" applyFill="1" applyBorder="1"/>
    <xf numFmtId="0" fontId="8" fillId="0" borderId="43" xfId="0" applyFont="1" applyFill="1" applyBorder="1"/>
    <xf numFmtId="0" fontId="8" fillId="0" borderId="41" xfId="0" applyFont="1" applyBorder="1"/>
    <xf numFmtId="0" fontId="8" fillId="2" borderId="43" xfId="0" applyFont="1" applyFill="1" applyBorder="1"/>
    <xf numFmtId="0" fontId="8" fillId="0" borderId="0" xfId="0" applyFont="1" applyFill="1" applyBorder="1"/>
    <xf numFmtId="0" fontId="8" fillId="0" borderId="40" xfId="0" applyFont="1" applyBorder="1"/>
    <xf numFmtId="0" fontId="8" fillId="0" borderId="0" xfId="0" quotePrefix="1" applyFont="1"/>
    <xf numFmtId="0" fontId="8" fillId="0" borderId="45" xfId="0" applyFont="1" applyBorder="1"/>
    <xf numFmtId="0" fontId="8" fillId="0" borderId="45" xfId="0" quotePrefix="1" applyFont="1" applyBorder="1"/>
    <xf numFmtId="1" fontId="8" fillId="0" borderId="43" xfId="0" applyNumberFormat="1" applyFont="1" applyFill="1" applyBorder="1"/>
    <xf numFmtId="0" fontId="8" fillId="0" borderId="1" xfId="0" applyFont="1" applyBorder="1"/>
    <xf numFmtId="0" fontId="8" fillId="0" borderId="1" xfId="0" applyFont="1" applyFill="1" applyBorder="1"/>
    <xf numFmtId="0" fontId="8" fillId="0" borderId="0" xfId="0" quotePrefix="1" applyFont="1" applyBorder="1"/>
    <xf numFmtId="1" fontId="8" fillId="0" borderId="0" xfId="0" applyNumberFormat="1" applyFont="1" applyFill="1" applyBorder="1"/>
    <xf numFmtId="164" fontId="0" fillId="0" borderId="0" xfId="0" applyNumberFormat="1"/>
    <xf numFmtId="0" fontId="8" fillId="0" borderId="3" xfId="0" applyFont="1" applyBorder="1"/>
    <xf numFmtId="0" fontId="8" fillId="0" borderId="20" xfId="0" applyFont="1" applyBorder="1"/>
    <xf numFmtId="0" fontId="8" fillId="0" borderId="22" xfId="0" applyFont="1" applyBorder="1"/>
    <xf numFmtId="0" fontId="8" fillId="0" borderId="23" xfId="0" applyFont="1" applyFill="1" applyBorder="1"/>
    <xf numFmtId="0" fontId="8" fillId="0" borderId="24" xfId="0" applyFont="1" applyFill="1" applyBorder="1"/>
    <xf numFmtId="0" fontId="8" fillId="0" borderId="23" xfId="0" applyFont="1" applyBorder="1"/>
    <xf numFmtId="0" fontId="8" fillId="0" borderId="24" xfId="0" applyFont="1" applyBorder="1"/>
    <xf numFmtId="0" fontId="8" fillId="0" borderId="32" xfId="0" applyFont="1" applyBorder="1"/>
    <xf numFmtId="0" fontId="8" fillId="0" borderId="19" xfId="0" applyFont="1" applyBorder="1"/>
    <xf numFmtId="0" fontId="8" fillId="0" borderId="33" xfId="0" applyFont="1" applyBorder="1"/>
    <xf numFmtId="0" fontId="8" fillId="0" borderId="13" xfId="0" applyFont="1" applyBorder="1"/>
    <xf numFmtId="2" fontId="8" fillId="0" borderId="28" xfId="0" applyNumberFormat="1" applyFont="1" applyBorder="1"/>
    <xf numFmtId="0" fontId="8" fillId="0" borderId="28" xfId="0" applyFont="1" applyBorder="1"/>
    <xf numFmtId="0" fontId="8" fillId="0" borderId="18" xfId="0" applyFont="1" applyBorder="1"/>
    <xf numFmtId="0" fontId="8" fillId="0" borderId="29" xfId="0" applyFont="1" applyBorder="1"/>
    <xf numFmtId="165" fontId="8" fillId="0" borderId="20" xfId="0" applyNumberFormat="1" applyFont="1" applyBorder="1"/>
    <xf numFmtId="165" fontId="8" fillId="0" borderId="21" xfId="0" applyNumberFormat="1" applyFont="1" applyBorder="1"/>
    <xf numFmtId="165" fontId="8" fillId="0" borderId="22" xfId="0" applyNumberFormat="1" applyFont="1" applyBorder="1"/>
    <xf numFmtId="165" fontId="8" fillId="8" borderId="25" xfId="0" applyNumberFormat="1" applyFont="1" applyFill="1" applyBorder="1"/>
    <xf numFmtId="165" fontId="8" fillId="8" borderId="26" xfId="0" applyNumberFormat="1" applyFont="1" applyFill="1" applyBorder="1"/>
    <xf numFmtId="165" fontId="8" fillId="8" borderId="27" xfId="0" applyNumberFormat="1" applyFont="1" applyFill="1" applyBorder="1"/>
    <xf numFmtId="2" fontId="8" fillId="0" borderId="20" xfId="0" applyNumberFormat="1" applyFont="1" applyBorder="1"/>
    <xf numFmtId="0" fontId="8" fillId="0" borderId="37" xfId="0" applyFont="1" applyBorder="1"/>
    <xf numFmtId="165" fontId="8" fillId="0" borderId="37" xfId="0" applyNumberFormat="1" applyFont="1" applyBorder="1"/>
    <xf numFmtId="0" fontId="7" fillId="0" borderId="0" xfId="0" applyFont="1"/>
    <xf numFmtId="0" fontId="0" fillId="0" borderId="0" xfId="0" applyFont="1"/>
    <xf numFmtId="0" fontId="0" fillId="0" borderId="0" xfId="0" quotePrefix="1" applyFont="1"/>
    <xf numFmtId="166" fontId="8" fillId="0" borderId="20" xfId="0" applyNumberFormat="1" applyFont="1" applyBorder="1"/>
    <xf numFmtId="166" fontId="8" fillId="0" borderId="22" xfId="0" applyNumberFormat="1" applyFont="1" applyBorder="1"/>
    <xf numFmtId="166" fontId="8" fillId="0" borderId="37" xfId="0" applyNumberFormat="1" applyFont="1" applyBorder="1"/>
    <xf numFmtId="166" fontId="8" fillId="0" borderId="25" xfId="0" applyNumberFormat="1" applyFont="1" applyBorder="1"/>
    <xf numFmtId="166" fontId="8" fillId="0" borderId="27" xfId="0" applyNumberFormat="1" applyFont="1" applyBorder="1"/>
    <xf numFmtId="166" fontId="8" fillId="0" borderId="38" xfId="0" applyNumberFormat="1" applyFont="1" applyBorder="1"/>
    <xf numFmtId="0" fontId="8" fillId="0" borderId="43" xfId="0" applyFont="1" applyBorder="1"/>
    <xf numFmtId="0" fontId="8" fillId="0" borderId="47" xfId="0" applyFont="1" applyBorder="1"/>
    <xf numFmtId="0" fontId="8" fillId="0" borderId="42" xfId="0" applyFont="1" applyBorder="1"/>
    <xf numFmtId="0" fontId="9" fillId="0" borderId="0" xfId="0" applyFont="1" applyBorder="1" applyAlignment="1"/>
    <xf numFmtId="0" fontId="8" fillId="0" borderId="0" xfId="0" applyFont="1" applyBorder="1" applyAlignment="1"/>
    <xf numFmtId="0" fontId="8" fillId="0" borderId="0" xfId="0" quotePrefix="1" applyFont="1" applyBorder="1" applyAlignment="1"/>
    <xf numFmtId="0" fontId="9" fillId="0" borderId="0" xfId="0" quotePrefix="1" applyFont="1" applyBorder="1" applyAlignment="1"/>
    <xf numFmtId="0" fontId="8" fillId="0" borderId="46" xfId="0" applyFont="1" applyBorder="1" applyAlignment="1">
      <alignment vertical="center" wrapText="1"/>
    </xf>
    <xf numFmtId="0" fontId="8" fillId="0" borderId="25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0" fillId="0" borderId="7" xfId="0" applyFont="1" applyBorder="1" applyAlignment="1">
      <alignment vertical="center" wrapText="1"/>
    </xf>
    <xf numFmtId="0" fontId="8" fillId="0" borderId="16" xfId="0" applyFont="1" applyBorder="1"/>
    <xf numFmtId="165" fontId="0" fillId="0" borderId="0" xfId="0" applyNumberFormat="1"/>
    <xf numFmtId="0" fontId="0" fillId="7" borderId="0" xfId="0" applyFill="1"/>
    <xf numFmtId="165" fontId="0" fillId="7" borderId="0" xfId="0" applyNumberFormat="1" applyFill="1"/>
    <xf numFmtId="0" fontId="3" fillId="10" borderId="1" xfId="0" applyFont="1" applyFill="1" applyBorder="1"/>
    <xf numFmtId="166" fontId="8" fillId="8" borderId="23" xfId="0" applyNumberFormat="1" applyFont="1" applyFill="1" applyBorder="1"/>
    <xf numFmtId="166" fontId="8" fillId="8" borderId="1" xfId="0" applyNumberFormat="1" applyFont="1" applyFill="1" applyBorder="1"/>
    <xf numFmtId="166" fontId="8" fillId="8" borderId="24" xfId="0" applyNumberFormat="1" applyFont="1" applyFill="1" applyBorder="1"/>
    <xf numFmtId="166" fontId="8" fillId="8" borderId="25" xfId="0" applyNumberFormat="1" applyFont="1" applyFill="1" applyBorder="1"/>
    <xf numFmtId="166" fontId="8" fillId="8" borderId="26" xfId="0" applyNumberFormat="1" applyFont="1" applyFill="1" applyBorder="1"/>
    <xf numFmtId="166" fontId="8" fillId="8" borderId="27" xfId="0" applyNumberFormat="1" applyFont="1" applyFill="1" applyBorder="1"/>
    <xf numFmtId="0" fontId="0" fillId="0" borderId="0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4" xfId="0" applyFont="1" applyBorder="1"/>
    <xf numFmtId="0" fontId="0" fillId="0" borderId="35" xfId="0" applyFont="1" applyBorder="1"/>
    <xf numFmtId="0" fontId="0" fillId="0" borderId="36" xfId="0" applyFont="1" applyBorder="1"/>
    <xf numFmtId="0" fontId="8" fillId="7" borderId="0" xfId="0" applyFont="1" applyFill="1"/>
    <xf numFmtId="0" fontId="0" fillId="11" borderId="0" xfId="0" applyFill="1" applyAlignment="1">
      <alignment vertical="center"/>
    </xf>
    <xf numFmtId="0" fontId="0" fillId="5" borderId="35" xfId="0" applyFont="1" applyFill="1" applyBorder="1"/>
    <xf numFmtId="0" fontId="3" fillId="5" borderId="35" xfId="0" quotePrefix="1" applyFont="1" applyFill="1" applyBorder="1"/>
    <xf numFmtId="0" fontId="0" fillId="0" borderId="1" xfId="0" applyFill="1" applyBorder="1" applyAlignment="1">
      <alignment vertical="center"/>
    </xf>
    <xf numFmtId="2" fontId="0" fillId="0" borderId="7" xfId="0" applyNumberFormat="1" applyFill="1" applyBorder="1" applyAlignment="1">
      <alignment vertical="center"/>
    </xf>
    <xf numFmtId="2" fontId="0" fillId="0" borderId="17" xfId="0" applyNumberFormat="1" applyFill="1" applyBorder="1" applyAlignment="1">
      <alignment vertical="center"/>
    </xf>
    <xf numFmtId="0" fontId="8" fillId="0" borderId="44" xfId="0" applyFont="1" applyFill="1" applyBorder="1"/>
    <xf numFmtId="0" fontId="5" fillId="2" borderId="0" xfId="0" applyFont="1" applyFill="1"/>
    <xf numFmtId="0" fontId="5" fillId="2" borderId="20" xfId="0" applyFont="1" applyFill="1" applyBorder="1"/>
    <xf numFmtId="0" fontId="5" fillId="2" borderId="30" xfId="0" applyFont="1" applyFill="1" applyBorder="1"/>
    <xf numFmtId="0" fontId="5" fillId="2" borderId="23" xfId="0" applyFont="1" applyFill="1" applyBorder="1"/>
    <xf numFmtId="0" fontId="5" fillId="2" borderId="46" xfId="0" applyFont="1" applyFill="1" applyBorder="1"/>
    <xf numFmtId="0" fontId="5" fillId="2" borderId="2" xfId="0" applyFont="1" applyFill="1" applyBorder="1"/>
    <xf numFmtId="0" fontId="5" fillId="2" borderId="25" xfId="0" applyFont="1" applyFill="1" applyBorder="1"/>
    <xf numFmtId="0" fontId="5" fillId="2" borderId="31" xfId="0" applyFont="1" applyFill="1" applyBorder="1"/>
    <xf numFmtId="0" fontId="10" fillId="0" borderId="0" xfId="0" applyFont="1" applyBorder="1" applyAlignment="1">
      <alignment wrapText="1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2" fontId="5" fillId="0" borderId="13" xfId="0" applyNumberFormat="1" applyFont="1" applyBorder="1"/>
    <xf numFmtId="0" fontId="0" fillId="0" borderId="5" xfId="0" applyFont="1" applyBorder="1"/>
    <xf numFmtId="0" fontId="0" fillId="0" borderId="6" xfId="0" applyFont="1" applyBorder="1"/>
    <xf numFmtId="0" fontId="5" fillId="0" borderId="4" xfId="0" applyFont="1" applyBorder="1"/>
    <xf numFmtId="2" fontId="5" fillId="0" borderId="6" xfId="0" applyNumberFormat="1" applyFont="1" applyBorder="1"/>
    <xf numFmtId="2" fontId="5" fillId="0" borderId="14" xfId="0" applyNumberFormat="1" applyFont="1" applyBorder="1"/>
    <xf numFmtId="0" fontId="5" fillId="0" borderId="7" xfId="0" applyFont="1" applyBorder="1"/>
    <xf numFmtId="2" fontId="5" fillId="0" borderId="8" xfId="0" applyNumberFormat="1" applyFont="1" applyBorder="1"/>
    <xf numFmtId="2" fontId="5" fillId="0" borderId="15" xfId="0" applyNumberFormat="1" applyFont="1" applyBorder="1"/>
    <xf numFmtId="0" fontId="5" fillId="0" borderId="48" xfId="0" applyFont="1" applyBorder="1"/>
    <xf numFmtId="2" fontId="5" fillId="0" borderId="49" xfId="0" applyNumberFormat="1" applyFont="1" applyBorder="1"/>
    <xf numFmtId="0" fontId="0" fillId="0" borderId="16" xfId="0" applyFill="1" applyBorder="1" applyAlignment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0" xfId="0" applyFill="1" applyAlignment="1">
      <alignment vertical="center" wrapText="1"/>
    </xf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2" fontId="5" fillId="0" borderId="0" xfId="0" applyNumberFormat="1" applyFont="1" applyBorder="1"/>
    <xf numFmtId="0" fontId="0" fillId="0" borderId="0" xfId="0" applyFont="1" applyBorder="1"/>
  </cellXfs>
  <cellStyles count="4">
    <cellStyle name="Normal" xfId="0" builtinId="0"/>
    <cellStyle name="標準 2" xfId="1"/>
    <cellStyle name="標準 2 2" xfId="2"/>
    <cellStyle name="標準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Gt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Conductance!$D$28</c:f>
              <c:strCache>
                <c:ptCount val="1"/>
                <c:pt idx="0">
                  <c:v>Baseline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Conductance!$C$29:$C$34</c:f>
              <c:strCache>
                <c:ptCount val="6"/>
                <c:pt idx="0">
                  <c:v>S2-M</c:v>
                </c:pt>
                <c:pt idx="1">
                  <c:v>S3-M</c:v>
                </c:pt>
                <c:pt idx="2">
                  <c:v>S2-S</c:v>
                </c:pt>
                <c:pt idx="3">
                  <c:v>S3-S</c:v>
                </c:pt>
                <c:pt idx="4">
                  <c:v>0</c:v>
                </c:pt>
                <c:pt idx="5">
                  <c:v>0</c:v>
                </c:pt>
              </c:strCache>
            </c:strRef>
          </c:cat>
          <c:val>
            <c:numRef>
              <c:f>Conductance!$D$29:$D$32</c:f>
              <c:numCache>
                <c:formatCode>0.0</c:formatCode>
                <c:ptCount val="4"/>
                <c:pt idx="0">
                  <c:v>67.940552016985137</c:v>
                </c:pt>
                <c:pt idx="1">
                  <c:v>42.462845010615716</c:v>
                </c:pt>
                <c:pt idx="2">
                  <c:v>67.940552016985137</c:v>
                </c:pt>
                <c:pt idx="3">
                  <c:v>36.396724294813467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51-4528-B7A8-E10C385F35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271424"/>
        <c:axId val="218564096"/>
      </c:barChart>
      <c:catAx>
        <c:axId val="20927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564096"/>
        <c:crosses val="autoZero"/>
        <c:auto val="1"/>
        <c:lblAlgn val="ctr"/>
        <c:lblOffset val="100"/>
        <c:noMultiLvlLbl val="0"/>
      </c:catAx>
      <c:valAx>
        <c:axId val="21856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Gt (mS/cm</a:t>
                </a:r>
                <a:r>
                  <a:rPr lang="en-US" altLang="ja-JP" baseline="30000"/>
                  <a:t>2</a:t>
                </a:r>
                <a:r>
                  <a:rPr lang="en-US" altLang="ja-JP" baseline="0"/>
                  <a:t>)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271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Baseline Gt (mS/cm2)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'Permeability (mS.cm^-2)'!$B$12</c:f>
              <c:strCache>
                <c:ptCount val="1"/>
                <c:pt idx="0">
                  <c:v>baseline Gt (mS/cm2)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'Permeability (mS.cm^-2)'!$C$11:$F$11</c:f>
              <c:strCache>
                <c:ptCount val="4"/>
                <c:pt idx="0">
                  <c:v>S2-M</c:v>
                </c:pt>
                <c:pt idx="1">
                  <c:v>S3-M</c:v>
                </c:pt>
                <c:pt idx="2">
                  <c:v>S2-S</c:v>
                </c:pt>
                <c:pt idx="3">
                  <c:v>S3-S</c:v>
                </c:pt>
              </c:strCache>
            </c:strRef>
          </c:cat>
          <c:val>
            <c:numRef>
              <c:f>'Permeability (mS.cm^-2)'!$C$12:$F$12</c:f>
              <c:numCache>
                <c:formatCode>General</c:formatCode>
                <c:ptCount val="4"/>
                <c:pt idx="0">
                  <c:v>67.940552016985137</c:v>
                </c:pt>
                <c:pt idx="1">
                  <c:v>42.462845010615716</c:v>
                </c:pt>
                <c:pt idx="2">
                  <c:v>67.940552016985137</c:v>
                </c:pt>
                <c:pt idx="3">
                  <c:v>36.396724294813467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91-4EFF-9E94-9BD2C4CB5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2299648"/>
        <c:axId val="231109376"/>
      </c:barChart>
      <c:catAx>
        <c:axId val="22229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109376"/>
        <c:crosses val="autoZero"/>
        <c:auto val="1"/>
        <c:lblAlgn val="ctr"/>
        <c:lblOffset val="100"/>
        <c:noMultiLvlLbl val="0"/>
      </c:catAx>
      <c:valAx>
        <c:axId val="2311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Gt (mS/cm</a:t>
                </a:r>
                <a:r>
                  <a:rPr lang="en-US" altLang="ja-JP" baseline="30000"/>
                  <a:t>2</a:t>
                </a:r>
                <a:r>
                  <a:rPr lang="en-US" altLang="ja-JP" baseline="0"/>
                  <a:t>)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29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'Permeability (mS.cm^-2)'!$B$18</c:f>
              <c:strCache>
                <c:ptCount val="1"/>
                <c:pt idx="0">
                  <c:v>PNa/PCl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'Permeability (mS.cm^-2)'!$C$11:$H$11</c:f>
              <c:strCache>
                <c:ptCount val="6"/>
                <c:pt idx="0">
                  <c:v>S2-M</c:v>
                </c:pt>
                <c:pt idx="1">
                  <c:v>S3-M</c:v>
                </c:pt>
                <c:pt idx="2">
                  <c:v>S2-S</c:v>
                </c:pt>
                <c:pt idx="3">
                  <c:v>S3-S</c:v>
                </c:pt>
                <c:pt idx="4">
                  <c:v>0</c:v>
                </c:pt>
                <c:pt idx="5">
                  <c:v>0</c:v>
                </c:pt>
              </c:strCache>
            </c:strRef>
          </c:cat>
          <c:val>
            <c:numRef>
              <c:f>'Permeability (mS.cm^-2)'!$C$18:$F$18</c:f>
              <c:numCache>
                <c:formatCode>0.000</c:formatCode>
                <c:ptCount val="4"/>
                <c:pt idx="0">
                  <c:v>4.1675174046968415</c:v>
                </c:pt>
                <c:pt idx="1">
                  <c:v>4.5857363621810485</c:v>
                </c:pt>
                <c:pt idx="2">
                  <c:v>1.7871958405994113</c:v>
                </c:pt>
                <c:pt idx="3">
                  <c:v>2.1248534950035989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F79-4922-B28B-9B2372DB3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271296"/>
        <c:axId val="129272832"/>
      </c:barChart>
      <c:catAx>
        <c:axId val="12927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272832"/>
        <c:crosses val="autoZero"/>
        <c:auto val="1"/>
        <c:lblAlgn val="ctr"/>
        <c:lblOffset val="100"/>
        <c:noMultiLvlLbl val="0"/>
      </c:catAx>
      <c:valAx>
        <c:axId val="12927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P</a:t>
                </a:r>
                <a:r>
                  <a:rPr lang="en-US" altLang="ja-JP" baseline="-25000"/>
                  <a:t>Na</a:t>
                </a:r>
                <a:r>
                  <a:rPr lang="en-US" altLang="ja-JP" baseline="0"/>
                  <a:t>/P</a:t>
                </a:r>
                <a:r>
                  <a:rPr lang="en-US" altLang="ja-JP" baseline="-25000"/>
                  <a:t>Cl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271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'Permeability (mS.cm^-2)'!$B$21</c:f>
              <c:strCache>
                <c:ptCount val="1"/>
                <c:pt idx="0">
                  <c:v>PNa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'Permeability (mS.cm^-2)'!$C$11:$H$11</c:f>
              <c:strCache>
                <c:ptCount val="6"/>
                <c:pt idx="0">
                  <c:v>S2-M</c:v>
                </c:pt>
                <c:pt idx="1">
                  <c:v>S3-M</c:v>
                </c:pt>
                <c:pt idx="2">
                  <c:v>S2-S</c:v>
                </c:pt>
                <c:pt idx="3">
                  <c:v>S3-S</c:v>
                </c:pt>
                <c:pt idx="4">
                  <c:v>0</c:v>
                </c:pt>
                <c:pt idx="5">
                  <c:v>0</c:v>
                </c:pt>
              </c:strCache>
            </c:strRef>
          </c:cat>
          <c:val>
            <c:numRef>
              <c:f>'Permeability (mS.cm^-2)'!$C$21:$F$21</c:f>
              <c:numCache>
                <c:formatCode>0.000.E+00</c:formatCode>
                <c:ptCount val="4"/>
                <c:pt idx="0">
                  <c:v>1.3408463921630546E-4</c:v>
                </c:pt>
                <c:pt idx="1">
                  <c:v>8.5308483209699484E-5</c:v>
                </c:pt>
                <c:pt idx="2">
                  <c:v>1.0660761152909851E-4</c:v>
                </c:pt>
                <c:pt idx="3">
                  <c:v>6.0564217728428851E-5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C2-45D0-8FE0-BAF16BA6E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388544"/>
        <c:axId val="129390080"/>
      </c:barChart>
      <c:catAx>
        <c:axId val="12938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390080"/>
        <c:crosses val="autoZero"/>
        <c:auto val="1"/>
        <c:lblAlgn val="ctr"/>
        <c:lblOffset val="100"/>
        <c:noMultiLvlLbl val="0"/>
      </c:catAx>
      <c:valAx>
        <c:axId val="12939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P</a:t>
                </a:r>
                <a:r>
                  <a:rPr lang="en-US" altLang="ja-JP" baseline="-25000"/>
                  <a:t>Na</a:t>
                </a:r>
                <a:r>
                  <a:rPr lang="en-US" altLang="ja-JP" baseline="0"/>
                  <a:t> 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0.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388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'Permeability (mS.cm^-2)'!$B$24</c:f>
              <c:strCache>
                <c:ptCount val="1"/>
                <c:pt idx="0">
                  <c:v>PCl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'Permeability (mS.cm^-2)'!$C$11:$H$11</c:f>
              <c:strCache>
                <c:ptCount val="6"/>
                <c:pt idx="0">
                  <c:v>S2-M</c:v>
                </c:pt>
                <c:pt idx="1">
                  <c:v>S3-M</c:v>
                </c:pt>
                <c:pt idx="2">
                  <c:v>S2-S</c:v>
                </c:pt>
                <c:pt idx="3">
                  <c:v>S3-S</c:v>
                </c:pt>
                <c:pt idx="4">
                  <c:v>0</c:v>
                </c:pt>
                <c:pt idx="5">
                  <c:v>0</c:v>
                </c:pt>
              </c:strCache>
            </c:strRef>
          </c:cat>
          <c:val>
            <c:numRef>
              <c:f>'Permeability (mS.cm^-2)'!$C$24:$F$24</c:f>
              <c:numCache>
                <c:formatCode>0.000.E+00</c:formatCode>
                <c:ptCount val="4"/>
                <c:pt idx="0">
                  <c:v>3.2173744269235806E-5</c:v>
                </c:pt>
                <c:pt idx="1">
                  <c:v>1.8603006468763813E-5</c:v>
                </c:pt>
                <c:pt idx="2">
                  <c:v>5.9650771956442772E-5</c:v>
                </c:pt>
                <c:pt idx="3">
                  <c:v>2.850277342453969E-5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C2-45D0-8FE0-BAF16BA6E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2085504"/>
        <c:axId val="222087808"/>
      </c:barChart>
      <c:catAx>
        <c:axId val="22208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087808"/>
        <c:crosses val="autoZero"/>
        <c:auto val="1"/>
        <c:lblAlgn val="ctr"/>
        <c:lblOffset val="100"/>
        <c:noMultiLvlLbl val="0"/>
      </c:catAx>
      <c:valAx>
        <c:axId val="22208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PCl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0.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08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'NaCl activity'!$C$2</c:f>
              <c:strCache>
                <c:ptCount val="1"/>
                <c:pt idx="0">
                  <c:v>Activity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6"/>
            <c:dispRSqr val="1"/>
            <c:dispEq val="1"/>
            <c:trendlineLbl>
              <c:layout>
                <c:manualLayout>
                  <c:x val="0.19616469816272966"/>
                  <c:y val="-0.5687820793234179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lang="ja-JP"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'NaCl activity'!$B$3:$B$12</c:f>
              <c:numCache>
                <c:formatCode>General</c:formatCode>
                <c:ptCount val="10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0.7</c:v>
                </c:pt>
                <c:pt idx="7">
                  <c:v>0.8</c:v>
                </c:pt>
                <c:pt idx="8">
                  <c:v>0.9</c:v>
                </c:pt>
                <c:pt idx="9" formatCode="0.0">
                  <c:v>1</c:v>
                </c:pt>
              </c:numCache>
            </c:numRef>
          </c:xVal>
          <c:yVal>
            <c:numRef>
              <c:f>'NaCl activity'!$C$3:$C$12</c:f>
              <c:numCache>
                <c:formatCode>General</c:formatCode>
                <c:ptCount val="10"/>
                <c:pt idx="0">
                  <c:v>0.77800000000000002</c:v>
                </c:pt>
                <c:pt idx="1">
                  <c:v>0.73499999999999999</c:v>
                </c:pt>
                <c:pt idx="2">
                  <c:v>0.71</c:v>
                </c:pt>
                <c:pt idx="3">
                  <c:v>0.69299999999999995</c:v>
                </c:pt>
                <c:pt idx="4">
                  <c:v>0.68100000000000005</c:v>
                </c:pt>
                <c:pt idx="5">
                  <c:v>0.67300000000000004</c:v>
                </c:pt>
                <c:pt idx="6">
                  <c:v>0.66700000000000004</c:v>
                </c:pt>
                <c:pt idx="7">
                  <c:v>0.66200000000000003</c:v>
                </c:pt>
                <c:pt idx="8">
                  <c:v>0.65900000000000003</c:v>
                </c:pt>
                <c:pt idx="9">
                  <c:v>0.65700000000000003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6E9-4E01-9F08-CA4695F9D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105152"/>
        <c:axId val="131107072"/>
      </c:scatterChart>
      <c:valAx>
        <c:axId val="131105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altLang="ja-JP"/>
                  <a:t>Concentration </a:t>
                </a:r>
                <a:r>
                  <a:rPr lang="en-US" altLang="ja-JP"/>
                  <a:t>(mol/L)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07072"/>
        <c:crosses val="autoZero"/>
        <c:crossBetween val="midCat"/>
      </c:valAx>
      <c:valAx>
        <c:axId val="13110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ja-JP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altLang="ja-JP"/>
                  <a:t>Activity</a:t>
                </a:r>
                <a:endParaRPr lang="ja-JP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105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580278</xdr:colOff>
      <xdr:row>5</xdr:row>
      <xdr:rowOff>150827</xdr:rowOff>
    </xdr:from>
    <xdr:to>
      <xdr:col>17</xdr:col>
      <xdr:colOff>261096</xdr:colOff>
      <xdr:row>22</xdr:row>
      <xdr:rowOff>183030</xdr:rowOff>
    </xdr:to>
    <xdr:graphicFrame macro="">
      <xdr:nvGraphicFramePr>
        <xdr:cNvPr id="4" name="グラフ 3">
          <a:extLst>
            <a:ext uri="{FF2B5EF4-FFF2-40B4-BE49-F238E27FC236}">
              <a16:creationId xmlns="" xmlns:a16="http://schemas.microsoft.com/office/drawing/2014/main" id="{320A2DB4-F07B-4A64-866C-593D0136E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212911</xdr:colOff>
      <xdr:row>2</xdr:row>
      <xdr:rowOff>51547</xdr:rowOff>
    </xdr:from>
    <xdr:to>
      <xdr:col>15</xdr:col>
      <xdr:colOff>0</xdr:colOff>
      <xdr:row>18</xdr:row>
      <xdr:rowOff>26895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D7D4B134-3D66-40DE-BA57-3805C6F96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108323</xdr:colOff>
      <xdr:row>2</xdr:row>
      <xdr:rowOff>1</xdr:rowOff>
    </xdr:from>
    <xdr:to>
      <xdr:col>21</xdr:col>
      <xdr:colOff>549087</xdr:colOff>
      <xdr:row>17</xdr:row>
      <xdr:rowOff>102348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2BDA11A0-6A41-45F2-B28F-78A3B03A44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268943</xdr:colOff>
      <xdr:row>20</xdr:row>
      <xdr:rowOff>11207</xdr:rowOff>
    </xdr:from>
    <xdr:to>
      <xdr:col>14</xdr:col>
      <xdr:colOff>549089</xdr:colOff>
      <xdr:row>35</xdr:row>
      <xdr:rowOff>180789</xdr:rowOff>
    </xdr:to>
    <xdr:graphicFrame macro="">
      <xdr:nvGraphicFramePr>
        <xdr:cNvPr id="4" name="グラフ 3">
          <a:extLst>
            <a:ext uri="{FF2B5EF4-FFF2-40B4-BE49-F238E27FC236}">
              <a16:creationId xmlns="" xmlns:a16="http://schemas.microsoft.com/office/drawing/2014/main" id="{2E7D9683-D259-4EFB-A203-C6A3EEC05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20</xdr:row>
      <xdr:rowOff>0</xdr:rowOff>
    </xdr:from>
    <xdr:to>
      <xdr:col>22</xdr:col>
      <xdr:colOff>280146</xdr:colOff>
      <xdr:row>35</xdr:row>
      <xdr:rowOff>169582</xdr:rowOff>
    </xdr:to>
    <xdr:graphicFrame macro="">
      <xdr:nvGraphicFramePr>
        <xdr:cNvPr id="9" name="グラフ 3">
          <a:extLst>
            <a:ext uri="{FF2B5EF4-FFF2-40B4-BE49-F238E27FC236}">
              <a16:creationId xmlns="" xmlns:a16="http://schemas.microsoft.com/office/drawing/2014/main" id="{2E7D9683-D259-4EFB-A203-C6A3EEC05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536575</xdr:colOff>
      <xdr:row>3</xdr:row>
      <xdr:rowOff>130175</xdr:rowOff>
    </xdr:from>
    <xdr:to>
      <xdr:col>13</xdr:col>
      <xdr:colOff>231775</xdr:colOff>
      <xdr:row>20</xdr:row>
      <xdr:rowOff>66675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7C50FC29-0B89-4342-88D9-4195E1CC8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</sheetPr>
  <dimension ref="A1:AC34"/>
  <sheetViews>
    <sheetView zoomScale="85" zoomScaleNormal="85" workbookViewId="0">
      <pane ySplit="2" topLeftCell="A6" activePane="bottomLeft" state="frozen"/>
      <selection pane="bottomLeft" activeCell="T26" sqref="T26"/>
    </sheetView>
  </sheetViews>
  <sheetFormatPr defaultColWidth="8.7109375" defaultRowHeight="15"/>
  <cols>
    <col min="1" max="1" width="8.7109375" style="3" customWidth="1"/>
    <col min="2" max="2" width="11.140625" style="3" customWidth="1"/>
    <col min="3" max="3" width="14.140625" style="4" customWidth="1"/>
    <col min="4" max="4" width="9.5703125" style="3" customWidth="1"/>
    <col min="5" max="5" width="8.7109375" style="3"/>
    <col min="6" max="6" width="16.42578125" style="3" bestFit="1" customWidth="1"/>
    <col min="7" max="16384" width="8.7109375" style="3"/>
  </cols>
  <sheetData>
    <row r="1" spans="1:29" ht="34.5" customHeight="1" thickBot="1">
      <c r="B1" s="3" t="s">
        <v>49</v>
      </c>
      <c r="C1" s="159" t="s">
        <v>50</v>
      </c>
      <c r="D1" s="5">
        <v>0.19625000000000001</v>
      </c>
      <c r="F1" s="3" t="s">
        <v>51</v>
      </c>
      <c r="G1" s="6" t="s">
        <v>2</v>
      </c>
      <c r="H1" s="5">
        <v>10</v>
      </c>
      <c r="I1" s="6" t="s">
        <v>3</v>
      </c>
      <c r="J1" s="5">
        <v>40</v>
      </c>
    </row>
    <row r="2" spans="1:29" ht="15.75" thickBot="1">
      <c r="A2" s="7" t="s">
        <v>4</v>
      </c>
      <c r="B2" s="109"/>
      <c r="C2" s="14"/>
      <c r="D2" s="104"/>
      <c r="E2" s="15" t="s">
        <v>7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6"/>
      <c r="Q2" s="2"/>
      <c r="R2" s="4"/>
      <c r="S2" s="2"/>
      <c r="T2" s="2"/>
      <c r="U2" s="2"/>
      <c r="V2" s="2"/>
      <c r="W2" s="2"/>
      <c r="X2" s="2"/>
      <c r="Y2" s="2"/>
      <c r="Z2" s="2"/>
      <c r="AA2" s="2"/>
      <c r="AB2" s="2"/>
      <c r="AC2" s="8"/>
    </row>
    <row r="3" spans="1:29">
      <c r="B3" s="145"/>
      <c r="C3" s="10" t="s">
        <v>45</v>
      </c>
      <c r="D3" s="140" t="s">
        <v>5</v>
      </c>
      <c r="E3" s="125">
        <v>3</v>
      </c>
      <c r="F3" s="103"/>
      <c r="G3" s="2"/>
      <c r="H3" s="2"/>
      <c r="I3" s="2"/>
      <c r="J3" s="2"/>
      <c r="K3" s="2"/>
      <c r="L3" s="2"/>
      <c r="M3" s="2"/>
      <c r="N3" s="2"/>
      <c r="O3" s="2"/>
      <c r="P3" s="2"/>
      <c r="Q3" s="8"/>
    </row>
    <row r="4" spans="1:29">
      <c r="B4" s="146"/>
      <c r="C4" s="10" t="s">
        <v>46</v>
      </c>
      <c r="D4" s="140"/>
      <c r="E4" s="126">
        <v>4.8</v>
      </c>
      <c r="F4" s="103"/>
      <c r="G4" s="2"/>
      <c r="H4" s="2"/>
      <c r="I4" s="2"/>
      <c r="J4" s="2"/>
      <c r="K4" s="2"/>
      <c r="L4" s="2"/>
      <c r="M4" s="2"/>
      <c r="N4" s="2"/>
      <c r="O4" s="2"/>
      <c r="P4" s="2"/>
      <c r="Q4" s="8"/>
    </row>
    <row r="5" spans="1:29">
      <c r="B5" s="146"/>
      <c r="C5" s="10" t="s">
        <v>47</v>
      </c>
      <c r="D5" s="140"/>
      <c r="E5" s="126">
        <v>3</v>
      </c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</row>
    <row r="6" spans="1:29">
      <c r="B6" s="146"/>
      <c r="C6" s="10" t="s">
        <v>48</v>
      </c>
      <c r="D6" s="140"/>
      <c r="E6" s="126">
        <v>5.6</v>
      </c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</row>
    <row r="7" spans="1:29">
      <c r="B7" s="146"/>
      <c r="C7" s="10"/>
      <c r="D7" s="140"/>
      <c r="E7" s="126"/>
      <c r="F7" s="103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29" ht="15.75" thickBot="1">
      <c r="B8" s="146"/>
      <c r="C8" s="11"/>
      <c r="D8" s="140"/>
      <c r="E8" s="127"/>
      <c r="F8" s="103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29">
      <c r="B9" s="147"/>
      <c r="C9" s="9" t="str">
        <f t="shared" ref="C9:C20" si="0">C3</f>
        <v>S2-M</v>
      </c>
      <c r="D9" s="141" t="s">
        <v>0</v>
      </c>
      <c r="E9" s="14">
        <f t="shared" ref="E9:F14" si="1">$J$1/E3</f>
        <v>13.333333333333334</v>
      </c>
      <c r="F9" s="12"/>
    </row>
    <row r="10" spans="1:29">
      <c r="B10" s="147"/>
      <c r="C10" s="10" t="str">
        <f t="shared" si="0"/>
        <v>S3-M</v>
      </c>
      <c r="D10" s="142"/>
      <c r="E10" s="12">
        <f t="shared" si="1"/>
        <v>8.3333333333333339</v>
      </c>
      <c r="F10" s="12"/>
    </row>
    <row r="11" spans="1:29">
      <c r="B11" s="147"/>
      <c r="C11" s="10" t="str">
        <f t="shared" si="0"/>
        <v>S2-S</v>
      </c>
      <c r="D11" s="142"/>
      <c r="E11" s="12">
        <f t="shared" si="1"/>
        <v>13.333333333333334</v>
      </c>
      <c r="F11" s="12"/>
    </row>
    <row r="12" spans="1:29">
      <c r="B12" s="147"/>
      <c r="C12" s="10" t="str">
        <f t="shared" si="0"/>
        <v>S3-S</v>
      </c>
      <c r="D12" s="142"/>
      <c r="E12" s="12">
        <f t="shared" si="1"/>
        <v>7.1428571428571432</v>
      </c>
      <c r="F12" s="12"/>
    </row>
    <row r="13" spans="1:29">
      <c r="B13" s="147"/>
      <c r="C13" s="10">
        <f t="shared" si="0"/>
        <v>0</v>
      </c>
      <c r="D13" s="142"/>
      <c r="E13" s="12" t="e">
        <f t="shared" si="1"/>
        <v>#DIV/0!</v>
      </c>
      <c r="F13" s="12"/>
    </row>
    <row r="14" spans="1:29" ht="15.75" thickBot="1">
      <c r="B14" s="147"/>
      <c r="C14" s="10">
        <f t="shared" si="0"/>
        <v>0</v>
      </c>
      <c r="D14" s="142"/>
      <c r="E14" s="12" t="e">
        <f t="shared" si="1"/>
        <v>#DIV/0!</v>
      </c>
      <c r="F14" s="17" t="s">
        <v>52</v>
      </c>
    </row>
    <row r="15" spans="1:29">
      <c r="B15" s="147"/>
      <c r="C15" s="9" t="str">
        <f t="shared" si="0"/>
        <v>S2-M</v>
      </c>
      <c r="D15" s="141" t="s">
        <v>37</v>
      </c>
      <c r="E15" s="112">
        <f>3.14*(F15/20)^2</f>
        <v>0.19625000000000001</v>
      </c>
      <c r="F15" s="13">
        <v>5</v>
      </c>
    </row>
    <row r="16" spans="1:29">
      <c r="B16" s="147"/>
      <c r="C16" s="10" t="str">
        <f t="shared" si="0"/>
        <v>S3-M</v>
      </c>
      <c r="D16" s="142"/>
      <c r="E16" s="112">
        <f t="shared" ref="E16:E20" si="2">3.14*(F16/20)^2</f>
        <v>0.19625000000000001</v>
      </c>
      <c r="F16" s="13">
        <v>5</v>
      </c>
    </row>
    <row r="17" spans="2:16">
      <c r="B17" s="147"/>
      <c r="C17" s="10" t="str">
        <f t="shared" si="0"/>
        <v>S2-S</v>
      </c>
      <c r="D17" s="142"/>
      <c r="E17" s="112">
        <f t="shared" si="2"/>
        <v>0.19625000000000001</v>
      </c>
      <c r="F17" s="13">
        <v>5</v>
      </c>
    </row>
    <row r="18" spans="2:16">
      <c r="B18" s="147"/>
      <c r="C18" s="10" t="str">
        <f t="shared" si="0"/>
        <v>S3-S</v>
      </c>
      <c r="D18" s="142"/>
      <c r="E18" s="112">
        <f t="shared" si="2"/>
        <v>0.19625000000000001</v>
      </c>
      <c r="F18" s="13">
        <v>5</v>
      </c>
    </row>
    <row r="19" spans="2:16">
      <c r="B19" s="147"/>
      <c r="C19" s="10">
        <f t="shared" si="0"/>
        <v>0</v>
      </c>
      <c r="D19" s="142"/>
      <c r="E19" s="112">
        <f t="shared" si="2"/>
        <v>0.19625000000000001</v>
      </c>
      <c r="F19" s="13">
        <v>5</v>
      </c>
    </row>
    <row r="20" spans="2:16">
      <c r="B20" s="147"/>
      <c r="C20" s="10">
        <f t="shared" si="0"/>
        <v>0</v>
      </c>
      <c r="D20" s="142"/>
      <c r="E20" s="112">
        <f t="shared" si="2"/>
        <v>0.19625000000000001</v>
      </c>
      <c r="F20" s="13">
        <v>5</v>
      </c>
    </row>
    <row r="21" spans="2:16">
      <c r="B21" s="144"/>
      <c r="C21" s="25" t="str">
        <f t="shared" ref="C21:C26" si="3">C3</f>
        <v>S2-M</v>
      </c>
      <c r="D21" s="143" t="s">
        <v>1</v>
      </c>
      <c r="E21" s="30">
        <f>E9/E15</f>
        <v>67.940552016985137</v>
      </c>
      <c r="F21" s="113"/>
    </row>
    <row r="22" spans="2:16">
      <c r="B22" s="144"/>
      <c r="C22" s="25" t="str">
        <f t="shared" si="3"/>
        <v>S3-M</v>
      </c>
      <c r="D22" s="143"/>
      <c r="E22" s="30">
        <f t="shared" ref="E22:E26" si="4">E10/E16</f>
        <v>42.462845010615716</v>
      </c>
      <c r="F22" s="113"/>
    </row>
    <row r="23" spans="2:16">
      <c r="B23" s="144"/>
      <c r="C23" s="25" t="str">
        <f t="shared" si="3"/>
        <v>S2-S</v>
      </c>
      <c r="D23" s="143"/>
      <c r="E23" s="30">
        <f t="shared" si="4"/>
        <v>67.940552016985137</v>
      </c>
      <c r="F23" s="113"/>
    </row>
    <row r="24" spans="2:16">
      <c r="B24" s="144"/>
      <c r="C24" s="25" t="str">
        <f t="shared" si="3"/>
        <v>S3-S</v>
      </c>
      <c r="D24" s="143"/>
      <c r="E24" s="30">
        <f t="shared" si="4"/>
        <v>36.396724294813467</v>
      </c>
      <c r="F24" s="113"/>
    </row>
    <row r="25" spans="2:16">
      <c r="B25" s="144"/>
      <c r="C25" s="25">
        <f t="shared" si="3"/>
        <v>0</v>
      </c>
      <c r="D25" s="143"/>
      <c r="E25" s="30" t="e">
        <f t="shared" si="4"/>
        <v>#DIV/0!</v>
      </c>
      <c r="F25" s="113"/>
    </row>
    <row r="26" spans="2:16">
      <c r="B26" s="144"/>
      <c r="C26" s="25">
        <f t="shared" si="3"/>
        <v>0</v>
      </c>
      <c r="D26" s="143"/>
      <c r="E26" s="30" t="e">
        <f t="shared" si="4"/>
        <v>#DIV/0!</v>
      </c>
      <c r="F26" s="114"/>
    </row>
    <row r="27" spans="2:16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2:16">
      <c r="C28" s="2"/>
      <c r="D28" s="2" t="s">
        <v>53</v>
      </c>
      <c r="E28" s="103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2:16">
      <c r="C29" s="26" t="str">
        <f t="shared" ref="C29:C34" si="5">C3</f>
        <v>S2-M</v>
      </c>
      <c r="D29" s="27">
        <f t="shared" ref="D29:E34" si="6">E21</f>
        <v>67.940552016985137</v>
      </c>
      <c r="E29" s="18"/>
      <c r="F29" s="18"/>
      <c r="G29" s="2"/>
      <c r="H29" s="2"/>
      <c r="I29" s="2"/>
      <c r="J29" s="2"/>
      <c r="K29" s="2"/>
      <c r="L29" s="2"/>
      <c r="M29" s="2"/>
      <c r="N29" s="2"/>
      <c r="O29" s="2"/>
    </row>
    <row r="30" spans="2:16">
      <c r="C30" s="26" t="str">
        <f t="shared" si="5"/>
        <v>S3-M</v>
      </c>
      <c r="D30" s="27">
        <f t="shared" si="6"/>
        <v>42.462845010615716</v>
      </c>
      <c r="E30" s="18"/>
      <c r="F30" s="18"/>
      <c r="G30" s="2"/>
      <c r="H30" s="2"/>
      <c r="I30" s="2"/>
      <c r="J30" s="2"/>
      <c r="K30" s="2"/>
      <c r="L30" s="2"/>
      <c r="M30" s="2"/>
      <c r="N30" s="2"/>
      <c r="O30" s="2"/>
    </row>
    <row r="31" spans="2:16">
      <c r="C31" s="26" t="str">
        <f t="shared" si="5"/>
        <v>S2-S</v>
      </c>
      <c r="D31" s="27">
        <f t="shared" si="6"/>
        <v>67.940552016985137</v>
      </c>
      <c r="E31" s="18"/>
      <c r="F31" s="18"/>
      <c r="G31" s="2"/>
      <c r="H31" s="2"/>
      <c r="I31" s="2"/>
      <c r="J31" s="2"/>
      <c r="K31" s="2"/>
      <c r="L31" s="2"/>
      <c r="M31" s="2"/>
      <c r="N31" s="2"/>
      <c r="O31" s="2"/>
    </row>
    <row r="32" spans="2:16">
      <c r="C32" s="26" t="str">
        <f t="shared" si="5"/>
        <v>S3-S</v>
      </c>
      <c r="D32" s="27">
        <f t="shared" si="6"/>
        <v>36.396724294813467</v>
      </c>
      <c r="E32" s="18"/>
      <c r="F32" s="19"/>
    </row>
    <row r="33" spans="3:4">
      <c r="C33" s="26">
        <f t="shared" si="5"/>
        <v>0</v>
      </c>
      <c r="D33" s="27" t="e">
        <f t="shared" si="6"/>
        <v>#DIV/0!</v>
      </c>
    </row>
    <row r="34" spans="3:4">
      <c r="C34" s="26">
        <f t="shared" si="5"/>
        <v>0</v>
      </c>
      <c r="D34" s="27" t="e">
        <f t="shared" si="6"/>
        <v>#DIV/0!</v>
      </c>
    </row>
  </sheetData>
  <mergeCells count="8">
    <mergeCell ref="D3:D8"/>
    <mergeCell ref="D9:D14"/>
    <mergeCell ref="D21:D26"/>
    <mergeCell ref="B21:B26"/>
    <mergeCell ref="B3:B8"/>
    <mergeCell ref="B9:B14"/>
    <mergeCell ref="B15:B20"/>
    <mergeCell ref="D15:D20"/>
  </mergeCells>
  <phoneticPr fontId="2"/>
  <pageMargins left="0.7" right="0.7" top="0.75" bottom="0.75" header="0.3" footer="0.3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</sheetPr>
  <dimension ref="A3:AI22"/>
  <sheetViews>
    <sheetView zoomScale="70" zoomScaleNormal="70" workbookViewId="0">
      <pane ySplit="1" topLeftCell="A2" activePane="bottomLeft" state="frozen"/>
      <selection pane="bottomLeft" activeCell="J22" sqref="J22"/>
    </sheetView>
  </sheetViews>
  <sheetFormatPr defaultColWidth="8.7109375" defaultRowHeight="15"/>
  <cols>
    <col min="1" max="1" width="10.140625" style="20" customWidth="1"/>
    <col min="2" max="2" width="13" style="21" bestFit="1" customWidth="1"/>
    <col min="3" max="3" width="14.5703125" style="21" bestFit="1" customWidth="1"/>
    <col min="4" max="14" width="8.7109375" style="21"/>
    <col min="15" max="16" width="8.85546875" style="21" customWidth="1"/>
    <col min="17" max="17" width="10" style="21" bestFit="1" customWidth="1"/>
    <col min="18" max="18" width="11.140625" style="21" bestFit="1" customWidth="1"/>
    <col min="19" max="20" width="6.7109375" style="21" bestFit="1" customWidth="1"/>
    <col min="21" max="21" width="8.7109375" style="21"/>
    <col min="22" max="22" width="8.7109375" style="21" customWidth="1"/>
    <col min="23" max="23" width="13.85546875" style="21" bestFit="1" customWidth="1"/>
    <col min="24" max="24" width="10.5703125" style="21" bestFit="1" customWidth="1"/>
    <col min="25" max="25" width="11.5703125" style="21" bestFit="1" customWidth="1"/>
    <col min="26" max="27" width="7.140625" style="21" bestFit="1" customWidth="1"/>
    <col min="28" max="34" width="8.7109375" style="21"/>
    <col min="35" max="35" width="8.7109375" style="20"/>
    <col min="36" max="36" width="20.140625" style="21" bestFit="1" customWidth="1"/>
    <col min="37" max="16384" width="8.7109375" style="21"/>
  </cols>
  <sheetData>
    <row r="3" spans="1:35">
      <c r="C3" s="73" t="s">
        <v>36</v>
      </c>
      <c r="D3" s="73" t="s">
        <v>41</v>
      </c>
      <c r="E3" s="73" t="s">
        <v>54</v>
      </c>
    </row>
    <row r="4" spans="1:35">
      <c r="B4" s="73" t="s">
        <v>35</v>
      </c>
      <c r="C4" s="116">
        <v>0</v>
      </c>
      <c r="D4" s="116">
        <v>0</v>
      </c>
      <c r="E4" s="1">
        <f>D4-C4</f>
        <v>0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</row>
    <row r="5" spans="1:35" ht="15.75" thickBot="1">
      <c r="B5" s="73"/>
      <c r="C5" s="73" t="s">
        <v>40</v>
      </c>
      <c r="E5" s="1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D5" s="20"/>
      <c r="AI5" s="21"/>
    </row>
    <row r="6" spans="1:35" ht="15.75" thickBot="1">
      <c r="C6" s="151" t="s">
        <v>9</v>
      </c>
      <c r="D6" s="152"/>
      <c r="E6" s="152"/>
      <c r="F6" s="153"/>
      <c r="G6" s="23"/>
      <c r="H6" s="23"/>
      <c r="I6" s="23"/>
      <c r="J6" s="23"/>
      <c r="AI6" s="21"/>
    </row>
    <row r="7" spans="1:35" ht="15.75" thickBot="1">
      <c r="C7" s="29" t="s">
        <v>6</v>
      </c>
      <c r="D7" s="110" t="s">
        <v>41</v>
      </c>
      <c r="E7" s="110" t="s">
        <v>55</v>
      </c>
      <c r="F7" s="111" t="s">
        <v>34</v>
      </c>
      <c r="G7" s="23"/>
      <c r="H7" s="23"/>
      <c r="I7" s="128"/>
      <c r="J7" s="129" t="s">
        <v>42</v>
      </c>
      <c r="K7" s="129" t="s">
        <v>43</v>
      </c>
      <c r="L7" s="130" t="s">
        <v>44</v>
      </c>
      <c r="AI7" s="21"/>
    </row>
    <row r="8" spans="1:35" ht="15.75" thickBot="1">
      <c r="A8" s="148" t="s">
        <v>38</v>
      </c>
      <c r="B8" s="139" t="s">
        <v>45</v>
      </c>
      <c r="C8" s="117">
        <v>0.3</v>
      </c>
      <c r="D8" s="118">
        <v>-10</v>
      </c>
      <c r="E8" s="24">
        <f>D8-C8</f>
        <v>-10.3</v>
      </c>
      <c r="F8" s="96">
        <f>E8-$E$4</f>
        <v>-10.3</v>
      </c>
      <c r="G8" s="23"/>
      <c r="H8" s="23"/>
      <c r="I8" s="128" t="str">
        <f>B8</f>
        <v>S2-M</v>
      </c>
      <c r="J8" s="131">
        <f>C8</f>
        <v>0.3</v>
      </c>
      <c r="K8" s="160">
        <f>Conductance!D29</f>
        <v>67.940552016985137</v>
      </c>
      <c r="L8" s="132">
        <f>J8*K8</f>
        <v>20.38216560509554</v>
      </c>
      <c r="AI8" s="21"/>
    </row>
    <row r="9" spans="1:35" ht="15.75" thickBot="1">
      <c r="A9" s="149"/>
      <c r="B9" s="139" t="s">
        <v>46</v>
      </c>
      <c r="C9" s="119">
        <v>1.3</v>
      </c>
      <c r="D9" s="120">
        <v>-9.5</v>
      </c>
      <c r="E9" s="24">
        <f t="shared" ref="E9:E11" si="0">D9-C9</f>
        <v>-10.8</v>
      </c>
      <c r="F9" s="96">
        <f t="shared" ref="F9:F11" si="1">E9-$E$4</f>
        <v>-10.8</v>
      </c>
      <c r="G9" s="23"/>
      <c r="H9" s="23"/>
      <c r="I9" s="133" t="str">
        <f>B9</f>
        <v>S3-M</v>
      </c>
      <c r="J9" s="134">
        <f t="shared" ref="J9:J11" si="2">C9</f>
        <v>1.3</v>
      </c>
      <c r="K9" s="161">
        <f>Conductance!D30</f>
        <v>42.462845010615716</v>
      </c>
      <c r="L9" s="135">
        <f t="shared" ref="L9:L11" si="3">J9*K9</f>
        <v>55.20169851380043</v>
      </c>
      <c r="AI9" s="21"/>
    </row>
    <row r="10" spans="1:35" ht="15.75" thickBot="1">
      <c r="A10" s="149"/>
      <c r="B10" s="139" t="s">
        <v>47</v>
      </c>
      <c r="C10" s="119">
        <v>-0.2</v>
      </c>
      <c r="D10" s="120">
        <v>4.5</v>
      </c>
      <c r="E10" s="24">
        <f t="shared" si="0"/>
        <v>4.7</v>
      </c>
      <c r="F10" s="96">
        <f t="shared" si="1"/>
        <v>4.7</v>
      </c>
      <c r="G10" s="23"/>
      <c r="H10" s="23"/>
      <c r="I10" s="133" t="str">
        <f>B10</f>
        <v>S2-S</v>
      </c>
      <c r="J10" s="134">
        <f t="shared" si="2"/>
        <v>-0.2</v>
      </c>
      <c r="K10" s="161">
        <f>Conductance!D31</f>
        <v>67.940552016985137</v>
      </c>
      <c r="L10" s="135">
        <f t="shared" si="3"/>
        <v>-13.588110403397028</v>
      </c>
      <c r="AI10" s="21"/>
    </row>
    <row r="11" spans="1:35" ht="15.75" thickBot="1">
      <c r="A11" s="149"/>
      <c r="B11" s="139" t="s">
        <v>48</v>
      </c>
      <c r="C11" s="119">
        <v>0.7</v>
      </c>
      <c r="D11" s="120">
        <v>6.7</v>
      </c>
      <c r="E11" s="24">
        <f t="shared" si="0"/>
        <v>6</v>
      </c>
      <c r="F11" s="96">
        <f t="shared" si="1"/>
        <v>6</v>
      </c>
      <c r="G11" s="23"/>
      <c r="H11" s="23"/>
      <c r="I11" s="136" t="str">
        <f>B11</f>
        <v>S3-S</v>
      </c>
      <c r="J11" s="137">
        <f t="shared" si="2"/>
        <v>0.7</v>
      </c>
      <c r="K11" s="162">
        <f>Conductance!D32</f>
        <v>36.396724294813467</v>
      </c>
      <c r="L11" s="138">
        <f t="shared" si="3"/>
        <v>25.477707006369425</v>
      </c>
      <c r="AI11" s="21"/>
    </row>
    <row r="12" spans="1:35" ht="15.75" thickBot="1">
      <c r="A12" s="149"/>
      <c r="B12" s="28"/>
      <c r="C12" s="119"/>
      <c r="D12" s="121"/>
      <c r="E12" s="24"/>
      <c r="F12" s="96"/>
      <c r="G12" s="23"/>
      <c r="H12" s="23"/>
      <c r="I12" s="23"/>
      <c r="J12" s="23"/>
      <c r="K12" s="23"/>
      <c r="AI12" s="21"/>
    </row>
    <row r="13" spans="1:35" ht="15.75" thickBot="1">
      <c r="A13" s="150"/>
      <c r="B13" s="28"/>
      <c r="C13" s="122"/>
      <c r="D13" s="123"/>
      <c r="E13" s="24"/>
      <c r="F13" s="96"/>
      <c r="G13" s="23"/>
      <c r="H13" s="23"/>
      <c r="I13" s="23"/>
      <c r="J13" s="23"/>
      <c r="K13" s="23"/>
      <c r="AI13" s="21"/>
    </row>
    <row r="14" spans="1:35">
      <c r="C14" s="22"/>
      <c r="D14" s="22"/>
      <c r="E14" s="22"/>
      <c r="F14" s="22"/>
      <c r="G14" s="22"/>
    </row>
    <row r="15" spans="1:35">
      <c r="C15" s="22"/>
      <c r="D15" s="22"/>
      <c r="E15" s="22"/>
      <c r="F15" s="22"/>
      <c r="G15" s="22"/>
    </row>
    <row r="16" spans="1:35">
      <c r="C16" s="22"/>
      <c r="D16" s="22"/>
      <c r="E16" s="22"/>
      <c r="F16" s="22"/>
      <c r="G16" s="22"/>
    </row>
    <row r="17" spans="3:7">
      <c r="C17" s="22"/>
      <c r="D17" s="22"/>
      <c r="E17" s="22"/>
      <c r="F17" s="22"/>
      <c r="G17" s="22"/>
    </row>
    <row r="18" spans="3:7">
      <c r="C18" s="22"/>
      <c r="D18" s="22"/>
      <c r="E18" s="22"/>
      <c r="F18" s="22"/>
      <c r="G18" s="22"/>
    </row>
    <row r="19" spans="3:7">
      <c r="C19" s="22"/>
      <c r="D19" s="22"/>
      <c r="E19" s="22"/>
      <c r="F19" s="22"/>
      <c r="G19" s="22"/>
    </row>
    <row r="20" spans="3:7">
      <c r="C20" s="22"/>
      <c r="D20" s="22"/>
      <c r="E20" s="22"/>
      <c r="F20" s="22"/>
      <c r="G20" s="22"/>
    </row>
    <row r="21" spans="3:7">
      <c r="C21" s="22"/>
      <c r="D21" s="22"/>
      <c r="E21" s="22"/>
      <c r="F21" s="22"/>
      <c r="G21" s="22"/>
    </row>
    <row r="22" spans="3:7">
      <c r="C22" s="22"/>
      <c r="D22" s="22"/>
      <c r="E22" s="22"/>
      <c r="F22" s="22"/>
      <c r="G22" s="22"/>
    </row>
  </sheetData>
  <mergeCells count="2">
    <mergeCell ref="A8:A13"/>
    <mergeCell ref="C6:F6"/>
  </mergeCells>
  <phoneticPr fontId="2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  <pageSetUpPr fitToPage="1"/>
  </sheetPr>
  <dimension ref="B1:N53"/>
  <sheetViews>
    <sheetView zoomScale="85" zoomScaleNormal="85" workbookViewId="0">
      <selection activeCell="C12" sqref="C12"/>
    </sheetView>
  </sheetViews>
  <sheetFormatPr defaultColWidth="8.7109375" defaultRowHeight="15"/>
  <cols>
    <col min="1" max="1" width="8.7109375" style="31"/>
    <col min="2" max="2" width="21.42578125" style="31" bestFit="1" customWidth="1"/>
    <col min="3" max="3" width="12.5703125" style="31" bestFit="1" customWidth="1"/>
    <col min="4" max="4" width="12.85546875" style="31" bestFit="1" customWidth="1"/>
    <col min="5" max="5" width="13.5703125" style="31" customWidth="1"/>
    <col min="6" max="8" width="12.85546875" style="31" bestFit="1" customWidth="1"/>
    <col min="9" max="16384" width="8.7109375" style="31"/>
  </cols>
  <sheetData>
    <row r="1" spans="2:8" ht="15.75" thickBot="1">
      <c r="B1" s="73" t="s">
        <v>59</v>
      </c>
      <c r="C1" s="73" t="s">
        <v>57</v>
      </c>
      <c r="D1" s="73" t="s">
        <v>60</v>
      </c>
    </row>
    <row r="2" spans="2:8" ht="15.75" thickBot="1">
      <c r="B2" s="32">
        <v>150</v>
      </c>
      <c r="C2" s="33">
        <v>0.754</v>
      </c>
      <c r="D2" s="34">
        <f>B2*C2</f>
        <v>113.1</v>
      </c>
      <c r="F2" s="1" t="s">
        <v>33</v>
      </c>
    </row>
    <row r="3" spans="2:8" ht="15.75" thickBot="1">
      <c r="B3" s="32">
        <v>75</v>
      </c>
      <c r="C3" s="33">
        <v>0.79300000000000004</v>
      </c>
      <c r="D3" s="34">
        <f>B3*C3</f>
        <v>59.475000000000001</v>
      </c>
    </row>
    <row r="4" spans="2:8" ht="15.75" thickBot="1">
      <c r="B4" s="35" t="s">
        <v>10</v>
      </c>
      <c r="C4" s="34">
        <f>D2/D3</f>
        <v>1.901639344262295</v>
      </c>
      <c r="D4" s="37"/>
    </row>
    <row r="5" spans="2:8" ht="15.75" thickBot="1">
      <c r="B5" s="38" t="s">
        <v>11</v>
      </c>
      <c r="C5" s="115">
        <v>96500</v>
      </c>
    </row>
    <row r="6" spans="2:8" ht="15.75" thickBot="1">
      <c r="B6" s="35" t="s">
        <v>12</v>
      </c>
      <c r="C6" s="34">
        <v>8.3140000000000001</v>
      </c>
      <c r="D6" s="39"/>
    </row>
    <row r="7" spans="2:8" ht="15.75" thickBot="1">
      <c r="B7" s="40" t="s">
        <v>13</v>
      </c>
      <c r="C7" s="36">
        <v>310</v>
      </c>
      <c r="D7" s="31" t="s">
        <v>14</v>
      </c>
    </row>
    <row r="8" spans="2:8" ht="15.75" thickBot="1">
      <c r="B8" s="41" t="s">
        <v>15</v>
      </c>
      <c r="C8" s="42">
        <f>C6*C7</f>
        <v>2577.34</v>
      </c>
    </row>
    <row r="9" spans="2:8">
      <c r="B9" s="45"/>
      <c r="C9" s="46"/>
    </row>
    <row r="10" spans="2:8" ht="15.75" thickBot="1">
      <c r="C10" s="156" t="s">
        <v>29</v>
      </c>
      <c r="D10" s="156"/>
      <c r="E10" s="156"/>
      <c r="F10" s="156"/>
      <c r="G10" s="156"/>
      <c r="H10" s="156"/>
    </row>
    <row r="11" spans="2:8">
      <c r="B11" s="58"/>
      <c r="C11" s="105" t="str">
        <f>Conductance!C3</f>
        <v>S2-M</v>
      </c>
      <c r="D11" s="106" t="str">
        <f>Conductance!C4</f>
        <v>S3-M</v>
      </c>
      <c r="E11" s="106" t="str">
        <f>Conductance!C5</f>
        <v>S2-S</v>
      </c>
      <c r="F11" s="107" t="str">
        <f>Conductance!C6</f>
        <v>S3-S</v>
      </c>
      <c r="G11" s="105">
        <f>Conductance!C7</f>
        <v>0</v>
      </c>
      <c r="H11" s="106">
        <f>Conductance!C8</f>
        <v>0</v>
      </c>
    </row>
    <row r="12" spans="2:8" ht="12.95" customHeight="1">
      <c r="B12" s="124" t="s">
        <v>39</v>
      </c>
      <c r="C12" s="108">
        <f>Conductance!D29</f>
        <v>67.940552016985137</v>
      </c>
      <c r="D12" s="108">
        <f>Conductance!D30</f>
        <v>42.462845010615716</v>
      </c>
      <c r="E12" s="108">
        <f>Conductance!D31</f>
        <v>67.940552016985137</v>
      </c>
      <c r="F12" s="108">
        <f>Conductance!D32</f>
        <v>36.396724294813467</v>
      </c>
      <c r="G12" s="108" t="e">
        <f>Conductance!D33</f>
        <v>#DIV/0!</v>
      </c>
      <c r="H12" s="108" t="e">
        <f>Conductance!D34</f>
        <v>#DIV/0!</v>
      </c>
    </row>
    <row r="13" spans="2:8" ht="17.25">
      <c r="B13" s="85" t="s">
        <v>25</v>
      </c>
      <c r="C13" s="51">
        <f>C12/1000*100^2</f>
        <v>679.40552016985134</v>
      </c>
      <c r="D13" s="44">
        <f t="shared" ref="D13:H13" si="0">D12/1000*100^2</f>
        <v>424.62845010615717</v>
      </c>
      <c r="E13" s="44">
        <f t="shared" si="0"/>
        <v>679.40552016985134</v>
      </c>
      <c r="F13" s="52">
        <f t="shared" si="0"/>
        <v>363.96724294813464</v>
      </c>
      <c r="G13" s="51" t="e">
        <f t="shared" si="0"/>
        <v>#DIV/0!</v>
      </c>
      <c r="H13" s="44" t="e">
        <f t="shared" si="0"/>
        <v>#DIV/0!</v>
      </c>
    </row>
    <row r="14" spans="2:8">
      <c r="B14" s="84" t="s">
        <v>16</v>
      </c>
      <c r="C14" s="108">
        <f>'ΔmV and Equivalent Isc'!F8</f>
        <v>-10.3</v>
      </c>
      <c r="D14" s="108">
        <f>'ΔmV and Equivalent Isc'!F9</f>
        <v>-10.8</v>
      </c>
      <c r="E14" s="108">
        <f>-'ΔmV and Equivalent Isc'!F10</f>
        <v>-4.7</v>
      </c>
      <c r="F14" s="108">
        <f>-'ΔmV and Equivalent Isc'!F11</f>
        <v>-6</v>
      </c>
      <c r="G14" s="108">
        <f>-'ΔmV and Equivalent Isc'!F12</f>
        <v>0</v>
      </c>
      <c r="H14" s="108">
        <f>-'ΔmV and Equivalent Isc'!F13</f>
        <v>0</v>
      </c>
    </row>
    <row r="15" spans="2:8">
      <c r="B15" s="86" t="s">
        <v>17</v>
      </c>
      <c r="C15" s="60">
        <f>$C$5*10^-3*C14</f>
        <v>-993.95</v>
      </c>
      <c r="D15" s="61">
        <f t="shared" ref="D15:H15" si="1">$C$5*10^-3*D14</f>
        <v>-1042.2</v>
      </c>
      <c r="E15" s="61">
        <f t="shared" si="1"/>
        <v>-453.55</v>
      </c>
      <c r="F15" s="62">
        <f t="shared" si="1"/>
        <v>-579</v>
      </c>
      <c r="G15" s="60">
        <f t="shared" si="1"/>
        <v>0</v>
      </c>
      <c r="H15" s="61">
        <f t="shared" si="1"/>
        <v>0</v>
      </c>
    </row>
    <row r="16" spans="2:8" ht="18" thickBot="1">
      <c r="B16" s="85" t="s">
        <v>26</v>
      </c>
      <c r="C16" s="55">
        <f>EXP(-(C15/$C$8))</f>
        <v>1.4705692131283419</v>
      </c>
      <c r="D16" s="56">
        <f t="shared" ref="D16:G16" si="2">EXP(-(D15/$C$8))</f>
        <v>1.4983588323832224</v>
      </c>
      <c r="E16" s="56">
        <f t="shared" si="2"/>
        <v>1.1924094479571248</v>
      </c>
      <c r="F16" s="57">
        <f t="shared" si="2"/>
        <v>1.2518847563158975</v>
      </c>
      <c r="G16" s="55">
        <f t="shared" si="2"/>
        <v>1</v>
      </c>
      <c r="H16" s="56">
        <f>EXP(-(H15/$C$8))</f>
        <v>1</v>
      </c>
    </row>
    <row r="17" spans="2:10">
      <c r="B17" s="85" t="s">
        <v>18</v>
      </c>
      <c r="C17" s="63">
        <f>($C$4-C16)/($C$4*C16-1)</f>
        <v>0.23995100749261136</v>
      </c>
      <c r="D17" s="64">
        <f t="shared" ref="D17:H17" si="3">($C$4-D16)/($C$4*D16-1)</f>
        <v>0.21806748600880846</v>
      </c>
      <c r="E17" s="64">
        <f t="shared" si="3"/>
        <v>0.55953576954644657</v>
      </c>
      <c r="F17" s="65">
        <f t="shared" si="3"/>
        <v>0.4706206815441204</v>
      </c>
      <c r="G17" s="63">
        <f t="shared" si="3"/>
        <v>1</v>
      </c>
      <c r="H17" s="64">
        <f t="shared" si="3"/>
        <v>1</v>
      </c>
    </row>
    <row r="18" spans="2:10" ht="15.75" thickBot="1">
      <c r="B18" s="87" t="s">
        <v>27</v>
      </c>
      <c r="C18" s="66">
        <f>1/C17</f>
        <v>4.1675174046968415</v>
      </c>
      <c r="D18" s="67">
        <f t="shared" ref="D18:H18" si="4">1/D17</f>
        <v>4.5857363621810485</v>
      </c>
      <c r="E18" s="67">
        <f t="shared" si="4"/>
        <v>1.7871958405994113</v>
      </c>
      <c r="F18" s="68">
        <f t="shared" si="4"/>
        <v>2.1248534950035989</v>
      </c>
      <c r="G18" s="66">
        <f t="shared" si="4"/>
        <v>1</v>
      </c>
      <c r="H18" s="67">
        <f t="shared" si="4"/>
        <v>1</v>
      </c>
    </row>
    <row r="19" spans="2:10">
      <c r="B19" s="86" t="s">
        <v>19</v>
      </c>
      <c r="C19" s="69">
        <f>$C$8*C12</f>
        <v>175105.90233545649</v>
      </c>
      <c r="D19" s="69">
        <f t="shared" ref="D19:H19" si="5">$C$8*D12</f>
        <v>109441.18895966031</v>
      </c>
      <c r="E19" s="69">
        <f t="shared" si="5"/>
        <v>175105.90233545649</v>
      </c>
      <c r="F19" s="69">
        <f t="shared" si="5"/>
        <v>93806.733393994553</v>
      </c>
      <c r="G19" s="69" t="e">
        <f t="shared" si="5"/>
        <v>#DIV/0!</v>
      </c>
      <c r="H19" s="69" t="e">
        <f t="shared" si="5"/>
        <v>#DIV/0!</v>
      </c>
      <c r="J19" s="1"/>
    </row>
    <row r="20" spans="2:10">
      <c r="B20" s="86" t="s">
        <v>21</v>
      </c>
      <c r="C20" s="53">
        <f>$C$5*$C$5*($D$2*10^-3)*(1+C17)</f>
        <v>1305935589.3330591</v>
      </c>
      <c r="D20" s="43">
        <f t="shared" ref="D20:H20" si="6">$C$5*$C$5*($D$2*10^-3)*(1+D17)</f>
        <v>1282887525.8588231</v>
      </c>
      <c r="E20" s="43">
        <f t="shared" si="6"/>
        <v>1642527206.302351</v>
      </c>
      <c r="F20" s="54">
        <f t="shared" si="6"/>
        <v>1548880459.6573145</v>
      </c>
      <c r="G20" s="53">
        <f t="shared" si="6"/>
        <v>2106430949.9999998</v>
      </c>
      <c r="H20" s="43">
        <f t="shared" si="6"/>
        <v>2106430949.9999998</v>
      </c>
    </row>
    <row r="21" spans="2:10" ht="15.75" thickBot="1">
      <c r="B21" s="84" t="s">
        <v>22</v>
      </c>
      <c r="C21" s="100">
        <f>C19/C20</f>
        <v>1.3408463921630546E-4</v>
      </c>
      <c r="D21" s="101">
        <f t="shared" ref="D21:H21" si="7">D19/D20</f>
        <v>8.5308483209699484E-5</v>
      </c>
      <c r="E21" s="101">
        <f t="shared" si="7"/>
        <v>1.0660761152909851E-4</v>
      </c>
      <c r="F21" s="102">
        <f t="shared" si="7"/>
        <v>6.0564217728428851E-5</v>
      </c>
      <c r="G21" s="100" t="e">
        <f t="shared" si="7"/>
        <v>#DIV/0!</v>
      </c>
      <c r="H21" s="101" t="e">
        <f t="shared" si="7"/>
        <v>#DIV/0!</v>
      </c>
    </row>
    <row r="22" spans="2:10">
      <c r="B22" s="85" t="s">
        <v>23</v>
      </c>
      <c r="C22" s="59">
        <f>$C$8*C12</f>
        <v>175105.90233545649</v>
      </c>
      <c r="D22" s="59">
        <f t="shared" ref="D22:H22" si="8">$C$8*D12</f>
        <v>109441.18895966031</v>
      </c>
      <c r="E22" s="59">
        <f t="shared" si="8"/>
        <v>175105.90233545649</v>
      </c>
      <c r="F22" s="59">
        <f t="shared" si="8"/>
        <v>93806.733393994553</v>
      </c>
      <c r="G22" s="59" t="e">
        <f t="shared" si="8"/>
        <v>#DIV/0!</v>
      </c>
      <c r="H22" s="59" t="e">
        <f t="shared" si="8"/>
        <v>#DIV/0!</v>
      </c>
    </row>
    <row r="23" spans="2:10">
      <c r="B23" s="85" t="s">
        <v>20</v>
      </c>
      <c r="C23" s="53">
        <f>$C$5*$C$5*($D$2*10^-3)*(1+1/C17)</f>
        <v>5442509297.9585505</v>
      </c>
      <c r="D23" s="43">
        <f t="shared" ref="D23:H23" si="9">$C$5*$C$5*($D$2*10^-3)*(1+1/D17)</f>
        <v>5882983975.9192848</v>
      </c>
      <c r="E23" s="43">
        <f t="shared" si="9"/>
        <v>2935517791.1749325</v>
      </c>
      <c r="F23" s="54">
        <f t="shared" si="9"/>
        <v>3291144058.0456252</v>
      </c>
      <c r="G23" s="53">
        <f t="shared" si="9"/>
        <v>2106430949.9999998</v>
      </c>
      <c r="H23" s="43">
        <f t="shared" si="9"/>
        <v>2106430949.9999998</v>
      </c>
    </row>
    <row r="24" spans="2:10">
      <c r="B24" s="84" t="s">
        <v>24</v>
      </c>
      <c r="C24" s="97">
        <f>C22/C23</f>
        <v>3.2173744269235806E-5</v>
      </c>
      <c r="D24" s="98">
        <f t="shared" ref="D24:H24" si="10">D22/D23</f>
        <v>1.8603006468763813E-5</v>
      </c>
      <c r="E24" s="98">
        <f t="shared" si="10"/>
        <v>5.9650771956442772E-5</v>
      </c>
      <c r="F24" s="99">
        <f t="shared" si="10"/>
        <v>2.850277342453969E-5</v>
      </c>
      <c r="G24" s="97" t="e">
        <f t="shared" si="10"/>
        <v>#DIV/0!</v>
      </c>
      <c r="H24" s="98" t="e">
        <f t="shared" si="10"/>
        <v>#DIV/0!</v>
      </c>
    </row>
    <row r="25" spans="2:10" ht="15.75" thickBot="1"/>
    <row r="26" spans="2:10" ht="15.75" thickBot="1">
      <c r="B26" s="154" t="s">
        <v>41</v>
      </c>
      <c r="C26" s="157" t="s">
        <v>8</v>
      </c>
      <c r="D26" s="158"/>
      <c r="E26" s="158"/>
      <c r="F26" s="158"/>
      <c r="G26" s="158"/>
      <c r="H26" s="158"/>
    </row>
    <row r="27" spans="2:10" ht="15.75" thickBot="1">
      <c r="B27" s="155"/>
      <c r="C27" s="82" t="str">
        <f t="shared" ref="C27:F28" si="11">C11</f>
        <v>S2-M</v>
      </c>
      <c r="D27" s="81" t="str">
        <f t="shared" si="11"/>
        <v>S3-M</v>
      </c>
      <c r="E27" s="82" t="str">
        <f t="shared" si="11"/>
        <v>S2-S</v>
      </c>
      <c r="F27" s="83" t="str">
        <f t="shared" si="11"/>
        <v>S3-S</v>
      </c>
      <c r="G27" s="82">
        <f>G11</f>
        <v>0</v>
      </c>
      <c r="H27" s="81">
        <f>H11</f>
        <v>0</v>
      </c>
    </row>
    <row r="28" spans="2:10" ht="12.95" customHeight="1">
      <c r="B28" s="91" t="s">
        <v>30</v>
      </c>
      <c r="C28" s="49">
        <f t="shared" si="11"/>
        <v>67.940552016985137</v>
      </c>
      <c r="D28" s="50">
        <f t="shared" si="11"/>
        <v>42.462845010615716</v>
      </c>
      <c r="E28" s="70">
        <f t="shared" si="11"/>
        <v>67.940552016985137</v>
      </c>
      <c r="F28" s="50">
        <f t="shared" si="11"/>
        <v>36.396724294813467</v>
      </c>
      <c r="G28" s="50" t="e">
        <f t="shared" ref="G28:H28" si="12">G12</f>
        <v>#DIV/0!</v>
      </c>
      <c r="H28" s="50" t="e">
        <f t="shared" si="12"/>
        <v>#DIV/0!</v>
      </c>
    </row>
    <row r="29" spans="2:10" ht="15.75" thickBot="1">
      <c r="B29" s="88" t="s">
        <v>28</v>
      </c>
      <c r="C29" s="53">
        <f t="shared" ref="C29:H29" si="13">C14</f>
        <v>-10.3</v>
      </c>
      <c r="D29" s="54">
        <f t="shared" si="13"/>
        <v>-10.8</v>
      </c>
      <c r="E29" s="48">
        <f t="shared" si="13"/>
        <v>-4.7</v>
      </c>
      <c r="F29" s="54">
        <f t="shared" si="13"/>
        <v>-6</v>
      </c>
      <c r="G29" s="54">
        <f t="shared" si="13"/>
        <v>0</v>
      </c>
      <c r="H29" s="54">
        <f t="shared" si="13"/>
        <v>0</v>
      </c>
    </row>
    <row r="30" spans="2:10" ht="15.75" thickBot="1">
      <c r="B30" s="90" t="str">
        <f t="shared" ref="B30:H30" si="14">B18</f>
        <v>PNa/PCl</v>
      </c>
      <c r="C30" s="63">
        <f t="shared" si="14"/>
        <v>4.1675174046968415</v>
      </c>
      <c r="D30" s="65">
        <f t="shared" si="14"/>
        <v>4.5857363621810485</v>
      </c>
      <c r="E30" s="71">
        <f t="shared" si="14"/>
        <v>1.7871958405994113</v>
      </c>
      <c r="F30" s="65">
        <f t="shared" si="14"/>
        <v>2.1248534950035989</v>
      </c>
      <c r="G30" s="65">
        <f t="shared" si="14"/>
        <v>1</v>
      </c>
      <c r="H30" s="65">
        <f t="shared" si="14"/>
        <v>1</v>
      </c>
    </row>
    <row r="31" spans="2:10" ht="15.75" thickBot="1">
      <c r="B31" s="90" t="str">
        <f t="shared" ref="B31:H31" si="15">B21</f>
        <v>PNa</v>
      </c>
      <c r="C31" s="75">
        <f t="shared" si="15"/>
        <v>1.3408463921630546E-4</v>
      </c>
      <c r="D31" s="76">
        <f t="shared" si="15"/>
        <v>8.5308483209699484E-5</v>
      </c>
      <c r="E31" s="77">
        <f t="shared" si="15"/>
        <v>1.0660761152909851E-4</v>
      </c>
      <c r="F31" s="76">
        <f t="shared" si="15"/>
        <v>6.0564217728428851E-5</v>
      </c>
      <c r="G31" s="76" t="e">
        <f t="shared" si="15"/>
        <v>#DIV/0!</v>
      </c>
      <c r="H31" s="76" t="e">
        <f t="shared" si="15"/>
        <v>#DIV/0!</v>
      </c>
    </row>
    <row r="32" spans="2:10" ht="15.75" thickBot="1">
      <c r="B32" s="89" t="str">
        <f t="shared" ref="B32:H32" si="16">B24</f>
        <v>PCl</v>
      </c>
      <c r="C32" s="78">
        <f t="shared" si="16"/>
        <v>3.2173744269235806E-5</v>
      </c>
      <c r="D32" s="79">
        <f t="shared" si="16"/>
        <v>1.8603006468763813E-5</v>
      </c>
      <c r="E32" s="80">
        <f t="shared" si="16"/>
        <v>5.9650771956442772E-5</v>
      </c>
      <c r="F32" s="79">
        <f t="shared" si="16"/>
        <v>2.850277342453969E-5</v>
      </c>
      <c r="G32" s="79" t="e">
        <f t="shared" si="16"/>
        <v>#DIV/0!</v>
      </c>
      <c r="H32" s="79" t="e">
        <f t="shared" si="16"/>
        <v>#DIV/0!</v>
      </c>
      <c r="J32" s="92"/>
    </row>
    <row r="35" spans="2:14">
      <c r="B35" s="163"/>
      <c r="C35" s="164"/>
      <c r="D35" s="164"/>
      <c r="E35" s="164"/>
    </row>
    <row r="36" spans="2:14">
      <c r="B36" s="163"/>
      <c r="C36" s="23"/>
      <c r="D36" s="163"/>
      <c r="E36" s="163"/>
      <c r="H36" s="73"/>
      <c r="I36" s="73"/>
      <c r="M36" s="73"/>
      <c r="N36" s="73"/>
    </row>
    <row r="37" spans="2:14" ht="12.95" customHeight="1">
      <c r="B37" s="163"/>
      <c r="C37" s="23"/>
      <c r="D37" s="163"/>
      <c r="E37" s="163"/>
      <c r="F37" s="73"/>
      <c r="G37" s="73"/>
      <c r="H37" s="73"/>
      <c r="I37" s="74"/>
      <c r="K37" s="73"/>
      <c r="L37" s="73"/>
      <c r="M37" s="73"/>
      <c r="N37" s="74"/>
    </row>
    <row r="38" spans="2:14">
      <c r="B38" s="163"/>
      <c r="C38" s="23"/>
      <c r="D38" s="163"/>
      <c r="E38" s="163"/>
      <c r="I38" s="1"/>
      <c r="M38" s="1"/>
    </row>
    <row r="39" spans="2:14">
      <c r="B39" s="163"/>
      <c r="C39" s="23"/>
      <c r="D39" s="163"/>
      <c r="E39" s="163"/>
      <c r="H39" s="1"/>
      <c r="N39" s="1"/>
    </row>
    <row r="40" spans="2:14">
      <c r="I40" s="1"/>
      <c r="M40" s="1"/>
    </row>
    <row r="41" spans="2:14">
      <c r="H41" s="1"/>
      <c r="N41" s="1"/>
    </row>
    <row r="44" spans="2:14">
      <c r="I44" s="1"/>
      <c r="M44" s="1"/>
    </row>
    <row r="45" spans="2:14">
      <c r="H45" s="1"/>
      <c r="N45" s="1"/>
    </row>
    <row r="46" spans="2:14">
      <c r="I46" s="1"/>
      <c r="M46" s="1"/>
    </row>
    <row r="47" spans="2:14">
      <c r="E47" s="72"/>
      <c r="H47" s="1"/>
      <c r="L47" s="72"/>
      <c r="N47" s="1"/>
    </row>
    <row r="53" ht="12.95" customHeight="1"/>
  </sheetData>
  <mergeCells count="3">
    <mergeCell ref="B26:B27"/>
    <mergeCell ref="C10:H10"/>
    <mergeCell ref="C26:H26"/>
  </mergeCells>
  <phoneticPr fontId="2"/>
  <pageMargins left="0.25" right="0.25" top="0.75" bottom="0.75" header="0.3" footer="0.3"/>
  <pageSetup paperSize="9" scale="56" fitToHeight="0" orientation="landscape" horizontalDpi="0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5"/>
  <sheetViews>
    <sheetView tabSelected="1" workbookViewId="0">
      <selection activeCell="K26" sqref="K26"/>
    </sheetView>
  </sheetViews>
  <sheetFormatPr defaultRowHeight="15"/>
  <cols>
    <col min="1" max="1" width="20.85546875" bestFit="1" customWidth="1"/>
    <col min="2" max="2" width="17.42578125" bestFit="1" customWidth="1"/>
  </cols>
  <sheetData>
    <row r="1" spans="1:5">
      <c r="B1" t="s">
        <v>32</v>
      </c>
      <c r="C1" t="s">
        <v>31</v>
      </c>
    </row>
    <row r="2" spans="1:5">
      <c r="B2" t="s">
        <v>56</v>
      </c>
      <c r="C2" t="s">
        <v>57</v>
      </c>
    </row>
    <row r="3" spans="1:5">
      <c r="B3">
        <v>0.1</v>
      </c>
      <c r="C3">
        <v>0.77800000000000002</v>
      </c>
    </row>
    <row r="4" spans="1:5">
      <c r="B4">
        <v>0.2</v>
      </c>
      <c r="C4">
        <v>0.73499999999999999</v>
      </c>
    </row>
    <row r="5" spans="1:5">
      <c r="B5">
        <v>0.3</v>
      </c>
      <c r="C5">
        <v>0.71</v>
      </c>
    </row>
    <row r="6" spans="1:5">
      <c r="B6">
        <v>0.4</v>
      </c>
      <c r="C6">
        <v>0.69299999999999995</v>
      </c>
    </row>
    <row r="7" spans="1:5">
      <c r="B7">
        <v>0.5</v>
      </c>
      <c r="C7">
        <v>0.68100000000000005</v>
      </c>
    </row>
    <row r="8" spans="1:5">
      <c r="B8">
        <v>0.6</v>
      </c>
      <c r="C8">
        <v>0.67300000000000004</v>
      </c>
    </row>
    <row r="9" spans="1:5">
      <c r="B9">
        <v>0.7</v>
      </c>
      <c r="C9">
        <v>0.66700000000000004</v>
      </c>
    </row>
    <row r="10" spans="1:5">
      <c r="B10">
        <v>0.8</v>
      </c>
      <c r="C10">
        <v>0.66200000000000003</v>
      </c>
    </row>
    <row r="11" spans="1:5">
      <c r="B11">
        <v>0.9</v>
      </c>
      <c r="C11">
        <v>0.65900000000000003</v>
      </c>
    </row>
    <row r="12" spans="1:5">
      <c r="B12" s="47">
        <v>1</v>
      </c>
      <c r="C12">
        <v>0.65700000000000003</v>
      </c>
    </row>
    <row r="14" spans="1:5">
      <c r="A14" t="s">
        <v>58</v>
      </c>
      <c r="B14" s="94">
        <v>0.11899999999999999</v>
      </c>
      <c r="C14" s="95">
        <v>0.06</v>
      </c>
      <c r="D14" s="95">
        <v>7.4999999999999997E-2</v>
      </c>
      <c r="E14" s="95">
        <v>0.15</v>
      </c>
    </row>
    <row r="15" spans="1:5">
      <c r="A15" t="s">
        <v>57</v>
      </c>
      <c r="B15" s="93">
        <f>1.3194*(B14^6)-4.9183*(B14^5)+7.5574*(B14^4)-6.2722*(B14^3)+3.1478*(B14^2)-1.0324*B14+0.8553</f>
        <v>0.76785263532318293</v>
      </c>
      <c r="C15" s="93">
        <f>1.3194*(C14^6)-4.9183*(C14^5)+7.5574*(C14^4)-6.2722*(C14^3)+3.1478*(C14^2)-1.0324*C14+0.8553</f>
        <v>0.80342746579184632</v>
      </c>
      <c r="D15" s="93">
        <f>1.3194*(D14^6)-4.9183*(D14^5)+7.5574*(D14^4)-6.2722*(D14^3)+3.1478*(D14^2)-1.0324*D14+0.8553</f>
        <v>0.79315797495278317</v>
      </c>
      <c r="E15" s="93">
        <f>1.3194*(E14^6)-4.9183*(E14^5)+7.5574*(E14^4)-6.2722*(E14^3)+3.1478*(E14^2)-1.0324*E14+0.8553</f>
        <v>0.75356430413437492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Conductance</vt:lpstr>
      <vt:lpstr>ΔmV and Equivalent Isc</vt:lpstr>
      <vt:lpstr>Permeability (mS.cm^-2)</vt:lpstr>
      <vt:lpstr>NaCl activity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2021-02-22T02:46:13Z</dcterms:modified>
</cp:coreProperties>
</file>