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ud2\Desktop\work\work\Papers\JoVE\reivision\"/>
    </mc:Choice>
  </mc:AlternateContent>
  <xr:revisionPtr revIDLastSave="0" documentId="13_ncr:1_{67E81D7C-32A8-4947-B1A9-766F72362FB8}" xr6:coauthVersionLast="45" xr6:coauthVersionMax="45" xr10:uidLastSave="{00000000-0000-0000-0000-000000000000}"/>
  <bookViews>
    <workbookView xWindow="15150" yWindow="1575" windowWidth="13545" windowHeight="15825" activeTab="1" xr2:uid="{33F897E2-AEA2-4CF7-83F2-DD22AB3BFD06}"/>
  </bookViews>
  <sheets>
    <sheet name="Limits Report 1" sheetId="2" r:id="rId1"/>
    <sheet name="Sheet1" sheetId="1" r:id="rId2"/>
    <sheet name="Sheet2" sheetId="3" r:id="rId3"/>
  </sheets>
  <definedNames>
    <definedName name="solver_adj" localSheetId="1" hidden="1">Sheet1!$B$1:$B$2</definedName>
    <definedName name="solver_adj" localSheetId="2" hidden="1">Sheet2!$B$1:$B$2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2" hidden="1">Sheet2!$O$13</definedName>
    <definedName name="solver_lhs2" localSheetId="2" hidden="1">Sheet2!$O$13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2</definedName>
    <definedName name="solver_nwt" localSheetId="1" hidden="1">1</definedName>
    <definedName name="solver_nwt" localSheetId="2" hidden="1">1</definedName>
    <definedName name="solver_opt" localSheetId="1" hidden="1">Sheet1!$B$15</definedName>
    <definedName name="solver_opt" localSheetId="2" hidden="1">Sheet2!$B$7</definedName>
    <definedName name="solver_pre" localSheetId="1" hidden="1">0.000001</definedName>
    <definedName name="solver_pre" localSheetId="2" hidden="1">0.000001</definedName>
    <definedName name="solver_rbv" localSheetId="1" hidden="1">2</definedName>
    <definedName name="solver_rbv" localSheetId="2" hidden="1">1</definedName>
    <definedName name="solver_rel1" localSheetId="2" hidden="1">1</definedName>
    <definedName name="solver_rel2" localSheetId="2" hidden="1">3</definedName>
    <definedName name="solver_rhs1" localSheetId="2" hidden="1">Sheet2!$B$13</definedName>
    <definedName name="solver_rhs2" localSheetId="2" hidden="1">0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2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1" hidden="1">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2</definedName>
    <definedName name="solver_typ" localSheetId="2" hidden="1">2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12" i="1"/>
  <c r="A22" i="1" l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B21" i="1"/>
  <c r="C21" i="1"/>
  <c r="D21" i="1"/>
  <c r="E21" i="1"/>
  <c r="A21" i="1"/>
  <c r="J27" i="1" l="1"/>
  <c r="J28" i="1"/>
  <c r="J29" i="1"/>
  <c r="J22" i="1" l="1"/>
  <c r="J23" i="1"/>
  <c r="J24" i="1"/>
  <c r="J25" i="1"/>
  <c r="J26" i="1"/>
  <c r="J21" i="1"/>
  <c r="I27" i="1" l="1"/>
  <c r="I28" i="1"/>
  <c r="I29" i="1"/>
  <c r="E13" i="1"/>
  <c r="G27" i="1"/>
  <c r="H27" i="1"/>
  <c r="H28" i="1"/>
  <c r="H29" i="1"/>
  <c r="G28" i="1"/>
  <c r="G29" i="1"/>
  <c r="I24" i="1"/>
  <c r="I22" i="1"/>
  <c r="I26" i="1"/>
  <c r="H24" i="1"/>
  <c r="H22" i="1"/>
  <c r="I25" i="1"/>
  <c r="H21" i="1"/>
  <c r="I23" i="1"/>
  <c r="I21" i="1"/>
  <c r="H25" i="1"/>
  <c r="H26" i="1"/>
  <c r="H23" i="1"/>
  <c r="G24" i="1"/>
  <c r="G22" i="1"/>
  <c r="G26" i="1"/>
  <c r="E12" i="1"/>
  <c r="G21" i="1"/>
  <c r="G25" i="1"/>
  <c r="G23" i="1"/>
  <c r="L29" i="1" l="1"/>
  <c r="Q29" i="1" s="1"/>
  <c r="M27" i="1"/>
  <c r="L28" i="1"/>
  <c r="Q28" i="1" s="1"/>
  <c r="L27" i="1"/>
  <c r="Q27" i="1" s="1"/>
  <c r="M29" i="1"/>
  <c r="M28" i="1"/>
  <c r="M24" i="1"/>
  <c r="L23" i="1"/>
  <c r="Q23" i="1" s="1"/>
  <c r="L21" i="1"/>
  <c r="Q21" i="1" s="1"/>
  <c r="L22" i="1"/>
  <c r="Q22" i="1" s="1"/>
  <c r="M26" i="1"/>
  <c r="M21" i="1"/>
  <c r="L25" i="1"/>
  <c r="Q25" i="1" s="1"/>
  <c r="M22" i="1"/>
  <c r="L26" i="1"/>
  <c r="Q26" i="1" s="1"/>
  <c r="M25" i="1"/>
  <c r="L24" i="1"/>
  <c r="Q24" i="1" s="1"/>
  <c r="M23" i="1"/>
  <c r="R27" i="1" l="1"/>
  <c r="U27" i="1" s="1"/>
  <c r="Z27" i="1" s="1"/>
  <c r="R28" i="1"/>
  <c r="T28" i="1"/>
  <c r="Y28" i="1" s="1"/>
  <c r="O28" i="1"/>
  <c r="O27" i="1"/>
  <c r="O29" i="1"/>
  <c r="R29" i="1"/>
  <c r="T29" i="1"/>
  <c r="Y29" i="1" s="1"/>
  <c r="T27" i="1"/>
  <c r="Y27" i="1" s="1"/>
  <c r="R24" i="1"/>
  <c r="W24" i="1" s="1"/>
  <c r="AB24" i="1" s="1"/>
  <c r="O26" i="1"/>
  <c r="R26" i="1"/>
  <c r="W26" i="1" s="1"/>
  <c r="AB26" i="1" s="1"/>
  <c r="T24" i="1"/>
  <c r="Y24" i="1" s="1"/>
  <c r="R23" i="1"/>
  <c r="O23" i="1"/>
  <c r="T23" i="1"/>
  <c r="Y23" i="1" s="1"/>
  <c r="T26" i="1"/>
  <c r="Y26" i="1" s="1"/>
  <c r="O24" i="1"/>
  <c r="O21" i="1"/>
  <c r="T21" i="1"/>
  <c r="Y21" i="1" s="1"/>
  <c r="R21" i="1"/>
  <c r="O25" i="1"/>
  <c r="T25" i="1"/>
  <c r="Y25" i="1" s="1"/>
  <c r="R25" i="1"/>
  <c r="U25" i="1" s="1"/>
  <c r="Z25" i="1" s="1"/>
  <c r="T22" i="1"/>
  <c r="Y22" i="1" s="1"/>
  <c r="R22" i="1"/>
  <c r="O22" i="1"/>
  <c r="W27" i="1" l="1"/>
  <c r="AB27" i="1" s="1"/>
  <c r="V27" i="1"/>
  <c r="AA27" i="1" s="1"/>
  <c r="V26" i="1"/>
  <c r="AA26" i="1" s="1"/>
  <c r="U24" i="1"/>
  <c r="Z24" i="1" s="1"/>
  <c r="V29" i="1"/>
  <c r="AA29" i="1" s="1"/>
  <c r="W29" i="1"/>
  <c r="AB29" i="1" s="1"/>
  <c r="U29" i="1"/>
  <c r="Z29" i="1" s="1"/>
  <c r="V28" i="1"/>
  <c r="AA28" i="1" s="1"/>
  <c r="U28" i="1"/>
  <c r="Z28" i="1" s="1"/>
  <c r="W28" i="1"/>
  <c r="AB28" i="1" s="1"/>
  <c r="V24" i="1"/>
  <c r="AA24" i="1" s="1"/>
  <c r="U26" i="1"/>
  <c r="Z26" i="1" s="1"/>
  <c r="V25" i="1"/>
  <c r="AA25" i="1" s="1"/>
  <c r="W22" i="1"/>
  <c r="AB22" i="1" s="1"/>
  <c r="V22" i="1"/>
  <c r="AA22" i="1" s="1"/>
  <c r="U22" i="1"/>
  <c r="Z22" i="1" s="1"/>
  <c r="U21" i="1"/>
  <c r="Z21" i="1" s="1"/>
  <c r="W21" i="1"/>
  <c r="AB21" i="1" s="1"/>
  <c r="V21" i="1"/>
  <c r="AA21" i="1" s="1"/>
  <c r="W25" i="1"/>
  <c r="AB25" i="1" s="1"/>
  <c r="W23" i="1"/>
  <c r="AB23" i="1" s="1"/>
  <c r="V23" i="1"/>
  <c r="AA23" i="1" s="1"/>
  <c r="U23" i="1"/>
  <c r="Z23" i="1" s="1"/>
  <c r="A37" i="1" l="1"/>
  <c r="B37" i="1" s="1"/>
  <c r="C37" i="1" s="1"/>
  <c r="A34" i="1"/>
  <c r="B34" i="1" s="1"/>
  <c r="D34" i="1" s="1"/>
  <c r="A36" i="1"/>
  <c r="B36" i="1" s="1"/>
  <c r="A38" i="1"/>
  <c r="B38" i="1" s="1"/>
  <c r="C38" i="1" s="1"/>
  <c r="A39" i="1"/>
  <c r="B39" i="1" s="1"/>
  <c r="C39" i="1" s="1"/>
  <c r="A35" i="1"/>
  <c r="A31" i="1"/>
  <c r="B31" i="1" s="1"/>
  <c r="A32" i="1"/>
  <c r="A33" i="1"/>
  <c r="C36" i="1" l="1"/>
  <c r="C34" i="1"/>
  <c r="F34" i="1" s="1"/>
  <c r="B33" i="1"/>
  <c r="C33" i="1" s="1"/>
  <c r="B32" i="1"/>
  <c r="D32" i="1" s="1"/>
  <c r="D38" i="1"/>
  <c r="B35" i="1"/>
  <c r="C35" i="1" s="1"/>
  <c r="D37" i="1"/>
  <c r="D39" i="1"/>
  <c r="F39" i="1" s="1"/>
  <c r="D31" i="1"/>
  <c r="D36" i="1"/>
  <c r="C31" i="1"/>
  <c r="D35" i="1" l="1"/>
  <c r="F35" i="1" s="1"/>
  <c r="E45" i="1" s="1"/>
  <c r="E55" i="1" s="1"/>
  <c r="D33" i="1"/>
  <c r="F33" i="1" s="1"/>
  <c r="D43" i="1" s="1"/>
  <c r="D53" i="1" s="1"/>
  <c r="C49" i="1"/>
  <c r="C59" i="1" s="1"/>
  <c r="D49" i="1"/>
  <c r="D59" i="1" s="1"/>
  <c r="C32" i="1"/>
  <c r="F32" i="1" s="1"/>
  <c r="F37" i="1"/>
  <c r="E47" i="1" s="1"/>
  <c r="E57" i="1" s="1"/>
  <c r="E49" i="1"/>
  <c r="E59" i="1" s="1"/>
  <c r="F38" i="1"/>
  <c r="E48" i="1" s="1"/>
  <c r="E58" i="1" s="1"/>
  <c r="F31" i="1"/>
  <c r="C41" i="1" s="1"/>
  <c r="C51" i="1" s="1"/>
  <c r="D44" i="1"/>
  <c r="D54" i="1" s="1"/>
  <c r="C44" i="1"/>
  <c r="C54" i="1" s="1"/>
  <c r="F36" i="1"/>
  <c r="E46" i="1" s="1"/>
  <c r="E56" i="1" s="1"/>
  <c r="E44" i="1"/>
  <c r="E54" i="1" s="1"/>
  <c r="C43" i="1" l="1"/>
  <c r="C53" i="1" s="1"/>
  <c r="E43" i="1"/>
  <c r="E53" i="1" s="1"/>
  <c r="D47" i="1"/>
  <c r="D57" i="1" s="1"/>
  <c r="C47" i="1"/>
  <c r="C57" i="1" s="1"/>
  <c r="D48" i="1"/>
  <c r="D58" i="1" s="1"/>
  <c r="C48" i="1"/>
  <c r="C58" i="1" s="1"/>
  <c r="E41" i="1"/>
  <c r="E51" i="1" s="1"/>
  <c r="D41" i="1"/>
  <c r="D51" i="1" s="1"/>
  <c r="C42" i="1"/>
  <c r="C52" i="1" s="1"/>
  <c r="D42" i="1"/>
  <c r="D52" i="1" s="1"/>
  <c r="D45" i="1"/>
  <c r="D55" i="1" s="1"/>
  <c r="C45" i="1"/>
  <c r="C55" i="1" s="1"/>
  <c r="D46" i="1"/>
  <c r="D56" i="1" s="1"/>
  <c r="C46" i="1"/>
  <c r="C56" i="1" s="1"/>
  <c r="E42" i="1"/>
  <c r="E52" i="1" s="1"/>
  <c r="B15" i="1" l="1"/>
</calcChain>
</file>

<file path=xl/sharedStrings.xml><?xml version="1.0" encoding="utf-8"?>
<sst xmlns="http://schemas.openxmlformats.org/spreadsheetml/2006/main" count="62" uniqueCount="47">
  <si>
    <t>Ab conc (nM)</t>
  </si>
  <si>
    <t>Ag conc (nM)</t>
  </si>
  <si>
    <t>f_Ab</t>
  </si>
  <si>
    <t>f_AbAg</t>
  </si>
  <si>
    <t>f_AbAg2</t>
  </si>
  <si>
    <t>cB</t>
  </si>
  <si>
    <t>euqation</t>
  </si>
  <si>
    <t>Microsoft Excel 16.0 Limits Report</t>
  </si>
  <si>
    <t>Worksheet: [Book1]Sheet1</t>
  </si>
  <si>
    <t>Report Created: 3/31/2020 11:33:50 AM</t>
  </si>
  <si>
    <t>Cell</t>
  </si>
  <si>
    <t>Objective</t>
  </si>
  <si>
    <t>Name</t>
  </si>
  <si>
    <t>Value</t>
  </si>
  <si>
    <t>Variable</t>
  </si>
  <si>
    <t>Lower</t>
  </si>
  <si>
    <t>Limit</t>
  </si>
  <si>
    <t>Result</t>
  </si>
  <si>
    <t>Upper</t>
  </si>
  <si>
    <t>$H$9</t>
  </si>
  <si>
    <t>$G$9</t>
  </si>
  <si>
    <t>a</t>
  </si>
  <si>
    <t>b</t>
  </si>
  <si>
    <t>c</t>
  </si>
  <si>
    <t>d</t>
  </si>
  <si>
    <t>cAg</t>
  </si>
  <si>
    <t>sumAb</t>
  </si>
  <si>
    <t>SE</t>
  </si>
  <si>
    <t>SSE</t>
  </si>
  <si>
    <t>logKa1</t>
  </si>
  <si>
    <t>logKa2</t>
  </si>
  <si>
    <t>Kd1 (nM)</t>
  </si>
  <si>
    <t>Kd2 (nM)</t>
  </si>
  <si>
    <t>p</t>
  </si>
  <si>
    <t>q</t>
  </si>
  <si>
    <t>Delta</t>
  </si>
  <si>
    <t>r</t>
  </si>
  <si>
    <t>theta</t>
  </si>
  <si>
    <t>Delta &gt;0</t>
  </si>
  <si>
    <t>Delta&lt;0</t>
  </si>
  <si>
    <t>Calculated</t>
  </si>
  <si>
    <r>
      <t>Ka1 (M</t>
    </r>
    <r>
      <rPr>
        <b/>
        <vertAlign val="superscript"/>
        <sz val="11"/>
        <color theme="1"/>
        <rFont val="Verdana"/>
        <family val="2"/>
      </rPr>
      <t>-1</t>
    </r>
    <r>
      <rPr>
        <b/>
        <sz val="11"/>
        <color theme="1"/>
        <rFont val="Verdana"/>
        <family val="2"/>
      </rPr>
      <t>)</t>
    </r>
  </si>
  <si>
    <r>
      <t>Ka2 (M</t>
    </r>
    <r>
      <rPr>
        <b/>
        <vertAlign val="superscript"/>
        <sz val="11"/>
        <color theme="1"/>
        <rFont val="Verdana"/>
        <family val="2"/>
      </rPr>
      <t>-1</t>
    </r>
    <r>
      <rPr>
        <b/>
        <sz val="11"/>
        <color theme="1"/>
        <rFont val="Verdana"/>
        <family val="2"/>
      </rPr>
      <t>)</t>
    </r>
  </si>
  <si>
    <t>cAg (M)</t>
  </si>
  <si>
    <t>cAb (M)</t>
  </si>
  <si>
    <t>cAbAg (M)</t>
  </si>
  <si>
    <t>cAbAg2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</si>
</sst>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Verdana"/>
      <family val="2"/>
    </font>
    <font>
      <sz val="11"/>
      <color rgb="FF006100"/>
      <name val="Verdana"/>
      <family val="2"/>
    </font>
    <font>
      <sz val="11"/>
      <color rgb="FF9C0006"/>
      <name val="Verdana"/>
      <family val="2"/>
    </font>
    <font>
      <sz val="11"/>
      <color rgb="FF9C5700"/>
      <name val="Verdana"/>
      <family val="2"/>
    </font>
    <font>
      <b/>
      <sz val="11"/>
      <color theme="1"/>
      <name val="Verdana"/>
      <family val="2"/>
    </font>
    <font>
      <b/>
      <sz val="11"/>
      <color indexed="18"/>
      <name val="Verdana"/>
      <family val="2"/>
    </font>
    <font>
      <b/>
      <vertAlign val="superscript"/>
      <sz val="11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4">
    <xf numFmtId="0" fontId="0" fillId="0" borderId="0" xfId="0"/>
    <xf numFmtId="11" fontId="0" fillId="0" borderId="0" xfId="0" applyNumberFormat="1"/>
    <xf numFmtId="0" fontId="4" fillId="0" borderId="0" xfId="0" applyFont="1"/>
    <xf numFmtId="0" fontId="0" fillId="0" borderId="3" xfId="0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1" fontId="0" fillId="0" borderId="3" xfId="0" applyNumberFormat="1" applyFill="1" applyBorder="1" applyAlignment="1"/>
    <xf numFmtId="0" fontId="0" fillId="0" borderId="3" xfId="0" applyNumberFormat="1" applyFill="1" applyBorder="1" applyAlignment="1"/>
    <xf numFmtId="0" fontId="3" fillId="4" borderId="0" xfId="3"/>
    <xf numFmtId="11" fontId="2" fillId="3" borderId="0" xfId="2" applyNumberFormat="1"/>
    <xf numFmtId="11" fontId="1" fillId="2" borderId="0" xfId="1" applyNumberFormat="1"/>
    <xf numFmtId="0" fontId="1" fillId="2" borderId="0" xfId="1"/>
    <xf numFmtId="0" fontId="0" fillId="0" borderId="4" xfId="0" applyBorder="1"/>
    <xf numFmtId="11" fontId="0" fillId="0" borderId="4" xfId="0" applyNumberFormat="1" applyBorder="1"/>
    <xf numFmtId="11" fontId="2" fillId="3" borderId="4" xfId="2" applyNumberFormat="1" applyBorder="1"/>
    <xf numFmtId="0" fontId="0" fillId="5" borderId="4" xfId="0" applyFill="1" applyBorder="1"/>
    <xf numFmtId="11" fontId="0" fillId="5" borderId="4" xfId="0" applyNumberFormat="1" applyFill="1" applyBorder="1"/>
    <xf numFmtId="0" fontId="0" fillId="6" borderId="4" xfId="0" applyFill="1" applyBorder="1"/>
    <xf numFmtId="11" fontId="0" fillId="6" borderId="4" xfId="0" applyNumberFormat="1" applyFill="1" applyBorder="1"/>
    <xf numFmtId="0" fontId="0" fillId="7" borderId="4" xfId="0" applyFill="1" applyBorder="1"/>
    <xf numFmtId="11" fontId="0" fillId="7" borderId="4" xfId="0" applyNumberFormat="1" applyFill="1" applyBorder="1"/>
    <xf numFmtId="0" fontId="4" fillId="0" borderId="4" xfId="0" applyFont="1" applyBorder="1"/>
    <xf numFmtId="0" fontId="4" fillId="8" borderId="4" xfId="0" applyFont="1" applyFill="1" applyBorder="1"/>
    <xf numFmtId="49" fontId="4" fillId="8" borderId="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9" borderId="4" xfId="0" applyFont="1" applyFill="1" applyBorder="1"/>
    <xf numFmtId="11" fontId="4" fillId="9" borderId="4" xfId="0" applyNumberFormat="1" applyFont="1" applyFill="1" applyBorder="1"/>
    <xf numFmtId="0" fontId="4" fillId="10" borderId="4" xfId="0" applyFont="1" applyFill="1" applyBorder="1"/>
    <xf numFmtId="0" fontId="0" fillId="10" borderId="4" xfId="0" applyFill="1" applyBorder="1"/>
    <xf numFmtId="0" fontId="4" fillId="11" borderId="4" xfId="0" applyFont="1" applyFill="1" applyBorder="1"/>
    <xf numFmtId="0" fontId="0" fillId="11" borderId="4" xfId="0" applyFill="1" applyBorder="1"/>
    <xf numFmtId="0" fontId="4" fillId="12" borderId="4" xfId="0" applyFont="1" applyFill="1" applyBorder="1"/>
    <xf numFmtId="0" fontId="0" fillId="12" borderId="4" xfId="0" applyFill="1" applyBorder="1"/>
    <xf numFmtId="11" fontId="0" fillId="12" borderId="4" xfId="0" applyNumberFormat="1" applyFill="1" applyBorder="1"/>
    <xf numFmtId="11" fontId="0" fillId="10" borderId="4" xfId="0" applyNumberFormat="1" applyFill="1" applyBorder="1"/>
    <xf numFmtId="0" fontId="0" fillId="13" borderId="4" xfId="0" applyFill="1" applyBorder="1"/>
    <xf numFmtId="11" fontId="0" fillId="13" borderId="4" xfId="0" applyNumberFormat="1" applyFill="1" applyBorder="1"/>
    <xf numFmtId="2" fontId="1" fillId="5" borderId="4" xfId="1" applyNumberFormat="1" applyFill="1" applyBorder="1"/>
    <xf numFmtId="0" fontId="3" fillId="13" borderId="4" xfId="3" applyFill="1" applyBorder="1"/>
    <xf numFmtId="0" fontId="4" fillId="0" borderId="4" xfId="0" applyFont="1" applyFill="1" applyBorder="1"/>
    <xf numFmtId="0" fontId="4" fillId="8" borderId="4" xfId="0" applyFont="1" applyFill="1" applyBorder="1" applyAlignment="1">
      <alignment horizontal="center"/>
    </xf>
    <xf numFmtId="0" fontId="3" fillId="14" borderId="4" xfId="3" applyFill="1" applyBorder="1"/>
    <xf numFmtId="2" fontId="3" fillId="14" borderId="4" xfId="3" applyNumberFormat="1" applyFill="1" applyBorder="1"/>
    <xf numFmtId="11" fontId="3" fillId="14" borderId="4" xfId="3" applyNumberFormat="1" applyFill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0C1F-2E62-4656-817B-8B751854CD91}">
  <sheetPr codeName="Sheet1"/>
  <dimension ref="A1:J13"/>
  <sheetViews>
    <sheetView showGridLines="0" workbookViewId="0"/>
  </sheetViews>
  <sheetFormatPr defaultRowHeight="14.25" x14ac:dyDescent="0.2"/>
  <cols>
    <col min="1" max="1" width="2.19921875" customWidth="1"/>
    <col min="2" max="2" width="5.09765625" bestFit="1" customWidth="1"/>
    <col min="3" max="3" width="8.69921875" bestFit="1" customWidth="1"/>
    <col min="4" max="4" width="8.5" bestFit="1" customWidth="1"/>
    <col min="5" max="5" width="2.19921875" customWidth="1"/>
    <col min="6" max="6" width="6" bestFit="1" customWidth="1"/>
    <col min="7" max="7" width="8.69921875" bestFit="1" customWidth="1"/>
    <col min="8" max="8" width="2.19921875" customWidth="1"/>
    <col min="9" max="9" width="5.796875" bestFit="1" customWidth="1"/>
    <col min="10" max="10" width="8.69921875" bestFit="1" customWidth="1"/>
  </cols>
  <sheetData>
    <row r="1" spans="1:10" x14ac:dyDescent="0.2">
      <c r="A1" s="2" t="s">
        <v>7</v>
      </c>
    </row>
    <row r="2" spans="1:10" x14ac:dyDescent="0.2">
      <c r="A2" s="2" t="s">
        <v>8</v>
      </c>
    </row>
    <row r="3" spans="1:10" x14ac:dyDescent="0.2">
      <c r="A3" s="2" t="s">
        <v>9</v>
      </c>
    </row>
    <row r="5" spans="1:10" ht="15" thickBot="1" x14ac:dyDescent="0.25"/>
    <row r="6" spans="1:10" x14ac:dyDescent="0.2">
      <c r="B6" s="4"/>
      <c r="C6" s="4" t="s">
        <v>11</v>
      </c>
      <c r="D6" s="4"/>
    </row>
    <row r="7" spans="1:10" ht="15" thickBot="1" x14ac:dyDescent="0.25">
      <c r="B7" s="5" t="s">
        <v>10</v>
      </c>
      <c r="C7" s="5" t="s">
        <v>12</v>
      </c>
      <c r="D7" s="5" t="s">
        <v>13</v>
      </c>
    </row>
    <row r="8" spans="1:10" ht="15" thickBot="1" x14ac:dyDescent="0.25">
      <c r="B8" s="3" t="s">
        <v>19</v>
      </c>
      <c r="C8" s="3" t="s">
        <v>6</v>
      </c>
      <c r="D8" s="6">
        <v>0</v>
      </c>
    </row>
    <row r="10" spans="1:10" ht="15" thickBot="1" x14ac:dyDescent="0.25"/>
    <row r="11" spans="1:10" x14ac:dyDescent="0.2">
      <c r="B11" s="4"/>
      <c r="C11" s="4" t="s">
        <v>14</v>
      </c>
      <c r="D11" s="4"/>
      <c r="F11" s="4" t="s">
        <v>15</v>
      </c>
      <c r="G11" s="4" t="s">
        <v>11</v>
      </c>
      <c r="I11" s="4" t="s">
        <v>18</v>
      </c>
      <c r="J11" s="4" t="s">
        <v>11</v>
      </c>
    </row>
    <row r="12" spans="1:10" ht="15" thickBot="1" x14ac:dyDescent="0.25">
      <c r="B12" s="5" t="s">
        <v>10</v>
      </c>
      <c r="C12" s="5" t="s">
        <v>12</v>
      </c>
      <c r="D12" s="5" t="s">
        <v>13</v>
      </c>
      <c r="F12" s="5" t="s">
        <v>16</v>
      </c>
      <c r="G12" s="5" t="s">
        <v>17</v>
      </c>
      <c r="I12" s="5" t="s">
        <v>16</v>
      </c>
      <c r="J12" s="5" t="s">
        <v>17</v>
      </c>
    </row>
    <row r="13" spans="1:10" ht="15" thickBot="1" x14ac:dyDescent="0.25">
      <c r="B13" s="3" t="s">
        <v>20</v>
      </c>
      <c r="C13" s="3" t="s">
        <v>5</v>
      </c>
      <c r="D13" s="7">
        <v>0</v>
      </c>
      <c r="F13" s="7">
        <v>0</v>
      </c>
      <c r="G13" s="7">
        <v>0</v>
      </c>
      <c r="I13" s="3" t="e">
        <v>#N/A</v>
      </c>
      <c r="J13" s="3" t="e"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8529-5DE7-4267-A2BE-E4EB3BA2DD38}">
  <sheetPr codeName="Sheet2"/>
  <dimension ref="A1:AH61"/>
  <sheetViews>
    <sheetView tabSelected="1" workbookViewId="0">
      <selection activeCell="B13" sqref="B13"/>
    </sheetView>
  </sheetViews>
  <sheetFormatPr defaultRowHeight="14.25" x14ac:dyDescent="0.2"/>
  <cols>
    <col min="1" max="1" width="12" style="12" bestFit="1" customWidth="1"/>
    <col min="2" max="2" width="11.8984375" style="12" bestFit="1" customWidth="1"/>
    <col min="3" max="3" width="9.59765625" style="12" bestFit="1" customWidth="1"/>
    <col min="4" max="4" width="11.69921875" style="12" bestFit="1" customWidth="1"/>
    <col min="5" max="5" width="11.8984375" style="12" bestFit="1" customWidth="1"/>
    <col min="6" max="6" width="8" style="12" bestFit="1" customWidth="1"/>
    <col min="7" max="7" width="8.5" style="12" bestFit="1" customWidth="1"/>
    <col min="8" max="8" width="9.19921875" style="12" bestFit="1" customWidth="1"/>
    <col min="9" max="9" width="9" style="12" customWidth="1"/>
    <col min="10" max="19" width="8.796875" style="12"/>
    <col min="20" max="20" width="9.19921875" style="12" bestFit="1" customWidth="1"/>
    <col min="21" max="25" width="8.796875" style="12"/>
    <col min="26" max="26" width="12" style="12" bestFit="1" customWidth="1"/>
    <col min="27" max="16384" width="8.796875" style="12"/>
  </cols>
  <sheetData>
    <row r="1" spans="1:8" x14ac:dyDescent="0.2">
      <c r="A1" s="21" t="s">
        <v>31</v>
      </c>
      <c r="B1" s="41">
        <v>40.09209784847625</v>
      </c>
      <c r="D1" s="39" t="s">
        <v>0</v>
      </c>
      <c r="E1" s="39" t="s">
        <v>1</v>
      </c>
      <c r="F1" s="39" t="s">
        <v>2</v>
      </c>
      <c r="G1" s="39" t="s">
        <v>3</v>
      </c>
      <c r="H1" s="39" t="s">
        <v>4</v>
      </c>
    </row>
    <row r="2" spans="1:8" x14ac:dyDescent="0.2">
      <c r="A2" s="21" t="s">
        <v>32</v>
      </c>
      <c r="B2" s="41">
        <v>27.582249850715385</v>
      </c>
      <c r="D2" s="42">
        <v>25</v>
      </c>
      <c r="E2" s="42">
        <v>0</v>
      </c>
      <c r="F2" s="41">
        <v>1</v>
      </c>
      <c r="G2" s="41">
        <v>0</v>
      </c>
      <c r="H2" s="41">
        <v>0</v>
      </c>
    </row>
    <row r="3" spans="1:8" x14ac:dyDescent="0.2">
      <c r="A3" s="21"/>
      <c r="B3" s="38"/>
      <c r="D3" s="42">
        <v>25</v>
      </c>
      <c r="E3" s="42">
        <v>7.5</v>
      </c>
      <c r="F3" s="41">
        <v>0.88195999999999997</v>
      </c>
      <c r="G3" s="41">
        <v>9.5509999999999998E-2</v>
      </c>
      <c r="H3" s="41">
        <v>2.2540000000000001E-2</v>
      </c>
    </row>
    <row r="4" spans="1:8" x14ac:dyDescent="0.2">
      <c r="A4" s="21"/>
      <c r="B4" s="38"/>
      <c r="D4" s="42">
        <v>25</v>
      </c>
      <c r="E4" s="42">
        <v>15</v>
      </c>
      <c r="F4" s="41">
        <v>0.80818999999999996</v>
      </c>
      <c r="G4" s="41">
        <v>0.15018000000000001</v>
      </c>
      <c r="H4" s="41">
        <v>4.163E-2</v>
      </c>
    </row>
    <row r="5" spans="1:8" x14ac:dyDescent="0.2">
      <c r="A5" s="21"/>
      <c r="B5" s="38"/>
      <c r="D5" s="42">
        <v>25</v>
      </c>
      <c r="E5" s="42">
        <v>30</v>
      </c>
      <c r="F5" s="41">
        <v>0.72184999999999999</v>
      </c>
      <c r="G5" s="41">
        <v>0.21096999999999999</v>
      </c>
      <c r="H5" s="41">
        <v>6.719E-2</v>
      </c>
    </row>
    <row r="6" spans="1:8" x14ac:dyDescent="0.2">
      <c r="A6" s="21"/>
      <c r="B6" s="38"/>
      <c r="D6" s="42">
        <v>25</v>
      </c>
      <c r="E6" s="42">
        <v>60</v>
      </c>
      <c r="F6" s="41">
        <v>0.27439000000000002</v>
      </c>
      <c r="G6" s="41">
        <v>0.37071999999999999</v>
      </c>
      <c r="H6" s="41">
        <v>0.35488999999999998</v>
      </c>
    </row>
    <row r="7" spans="1:8" x14ac:dyDescent="0.2">
      <c r="A7" s="21"/>
      <c r="B7" s="38"/>
      <c r="D7" s="42">
        <v>25</v>
      </c>
      <c r="E7" s="42">
        <v>120</v>
      </c>
      <c r="F7" s="41">
        <v>4.9099999999999998E-2</v>
      </c>
      <c r="G7" s="41">
        <v>0.23097000000000001</v>
      </c>
      <c r="H7" s="41">
        <v>0.71992999999999996</v>
      </c>
    </row>
    <row r="8" spans="1:8" x14ac:dyDescent="0.2">
      <c r="A8" s="21"/>
      <c r="B8" s="38"/>
      <c r="D8" s="42"/>
      <c r="E8" s="42"/>
      <c r="F8" s="41"/>
      <c r="G8" s="41"/>
      <c r="H8" s="41"/>
    </row>
    <row r="9" spans="1:8" x14ac:dyDescent="0.2">
      <c r="A9" s="21"/>
      <c r="B9" s="38"/>
      <c r="D9" s="42"/>
      <c r="E9" s="42"/>
      <c r="F9" s="41"/>
      <c r="G9" s="41"/>
      <c r="H9" s="41"/>
    </row>
    <row r="10" spans="1:8" x14ac:dyDescent="0.2">
      <c r="A10" s="21"/>
      <c r="B10" s="38"/>
      <c r="D10" s="43"/>
      <c r="E10" s="43"/>
      <c r="F10" s="41"/>
      <c r="G10" s="41"/>
      <c r="H10" s="41"/>
    </row>
    <row r="11" spans="1:8" x14ac:dyDescent="0.2">
      <c r="A11" s="21"/>
    </row>
    <row r="12" spans="1:8" ht="15.75" x14ac:dyDescent="0.2">
      <c r="A12" s="21" t="s">
        <v>41</v>
      </c>
      <c r="B12" s="13">
        <f>1/B1*1000000000</f>
        <v>24942571.071720712</v>
      </c>
      <c r="D12" s="21" t="s">
        <v>29</v>
      </c>
      <c r="E12" s="12">
        <f>LOG10(B12)</f>
        <v>7.3969412183770631</v>
      </c>
    </row>
    <row r="13" spans="1:8" ht="15.75" x14ac:dyDescent="0.2">
      <c r="A13" s="21" t="s">
        <v>42</v>
      </c>
      <c r="B13" s="13">
        <f>1/B2*1000000000</f>
        <v>36255200.551526569</v>
      </c>
      <c r="D13" s="21" t="s">
        <v>30</v>
      </c>
      <c r="E13" s="12">
        <f>LOG10(B13)</f>
        <v>7.5593703118403948</v>
      </c>
    </row>
    <row r="14" spans="1:8" x14ac:dyDescent="0.2">
      <c r="A14" s="21"/>
    </row>
    <row r="15" spans="1:8" x14ac:dyDescent="0.2">
      <c r="A15" s="21" t="s">
        <v>28</v>
      </c>
      <c r="B15" s="14">
        <f>SUM(C51:E59)</f>
        <v>4.0174379588733281E-2</v>
      </c>
    </row>
    <row r="20" spans="1:34" s="22" customFormat="1" x14ac:dyDescent="0.2">
      <c r="A20" s="22" t="s">
        <v>0</v>
      </c>
      <c r="B20" s="22" t="s">
        <v>1</v>
      </c>
      <c r="C20" s="22" t="s">
        <v>2</v>
      </c>
      <c r="D20" s="22" t="s">
        <v>3</v>
      </c>
      <c r="E20" s="22" t="s">
        <v>4</v>
      </c>
      <c r="G20" s="22" t="s">
        <v>21</v>
      </c>
      <c r="H20" s="22" t="s">
        <v>22</v>
      </c>
      <c r="I20" s="22" t="s">
        <v>23</v>
      </c>
      <c r="J20" s="22" t="s">
        <v>24</v>
      </c>
      <c r="L20" s="22" t="s">
        <v>33</v>
      </c>
      <c r="M20" s="23" t="s">
        <v>34</v>
      </c>
      <c r="O20" s="22" t="s">
        <v>35</v>
      </c>
      <c r="Q20" s="22" t="s">
        <v>36</v>
      </c>
      <c r="R20" s="22" t="s">
        <v>37</v>
      </c>
      <c r="T20" s="22" t="s">
        <v>38</v>
      </c>
      <c r="U20" s="40" t="s">
        <v>39</v>
      </c>
      <c r="V20" s="40"/>
      <c r="W20" s="40"/>
      <c r="X20" s="24"/>
      <c r="Y20" s="24" t="s">
        <v>25</v>
      </c>
      <c r="Z20" s="24"/>
      <c r="AA20" s="24"/>
      <c r="AB20" s="24"/>
    </row>
    <row r="21" spans="1:34" s="15" customFormat="1" x14ac:dyDescent="0.2">
      <c r="A21" s="37">
        <f>D2</f>
        <v>25</v>
      </c>
      <c r="B21" s="37">
        <f t="shared" ref="B21:E21" si="0">E2</f>
        <v>0</v>
      </c>
      <c r="C21" s="37">
        <f t="shared" si="0"/>
        <v>1</v>
      </c>
      <c r="D21" s="37">
        <f t="shared" si="0"/>
        <v>0</v>
      </c>
      <c r="E21" s="37">
        <f t="shared" si="0"/>
        <v>0</v>
      </c>
      <c r="G21" s="16">
        <f>$B$12*$B$13</f>
        <v>904297916475939.38</v>
      </c>
      <c r="H21" s="16">
        <f>$B$12+2*$B$12*$B$13*A21*0.000000001-$B$12*$B$13*B21*0.000000001</f>
        <v>70157466.895517677</v>
      </c>
      <c r="I21" s="16">
        <f>1+$B$12*A21*0.000000001-$B$12*B21*0.000000001</f>
        <v>1.6235642767930178</v>
      </c>
      <c r="J21" s="15">
        <f>-B21*0.000000001</f>
        <v>0</v>
      </c>
      <c r="L21" s="16">
        <f>(3*G21*I21-H21^2)/3/G21^2</f>
        <v>-2.1094865780239031E-16</v>
      </c>
      <c r="M21" s="16">
        <f>(-H21^3/27/G21^3+H21*I21/6/G21^2-J21/2/G21)*-2</f>
        <v>-1.1839820172134809E-23</v>
      </c>
      <c r="O21" s="16">
        <f>(M21/2)^2+(L21/3)^3</f>
        <v>3.4697665973399372E-47</v>
      </c>
      <c r="P21" s="16"/>
      <c r="Q21" s="16">
        <f>(-(L21/3)^3)^(1/2)</f>
        <v>5.8963501738212068E-25</v>
      </c>
      <c r="R21" s="16" t="e">
        <f>ACOS(-M21/2/Q21)/3</f>
        <v>#NUM!</v>
      </c>
      <c r="S21" s="16"/>
      <c r="T21" s="16">
        <f>IFERROR((-M21/2+((M21/2)^2+(L21/3)^3)^(1/2))^(1/3)+(-M21/2-((M21/2)^2+(L21/3)^3)^(1/2))^(1/3)-H21/3/G21, 0)</f>
        <v>-9.9261673506363321E-24</v>
      </c>
      <c r="U21" s="16">
        <f>IFERROR(2*Q21^(1/3)*COS(R21)-H21/3/G21,0)</f>
        <v>0</v>
      </c>
      <c r="V21" s="16">
        <f>IFERROR(2*Q21^(1/3)*COS(R21+3.14*2/3)-H21/3/G21,0)</f>
        <v>0</v>
      </c>
      <c r="W21" s="16">
        <f>IFERROR(2*Q21^(1/3)*COS(R21+3.14*4/3)-H21/3/G21,)</f>
        <v>0</v>
      </c>
      <c r="X21" s="16"/>
      <c r="Y21" s="15">
        <f>IF(AND(T21&gt;=0, T21&lt;=B21), T21, 0)</f>
        <v>0</v>
      </c>
      <c r="Z21" s="15">
        <f>IF(AND(U21&gt;=0, U21&lt;=B21), U21, 0)</f>
        <v>0</v>
      </c>
      <c r="AA21" s="15">
        <f>IF(AND(V21&gt;=0, V21&lt;=B21), V21, 0)</f>
        <v>0</v>
      </c>
      <c r="AB21" s="15">
        <f>IF(AND(W21&gt;=0, W21&lt;=B21), W21, 0)</f>
        <v>0</v>
      </c>
      <c r="AC21" s="16"/>
    </row>
    <row r="22" spans="1:34" s="15" customFormat="1" x14ac:dyDescent="0.2">
      <c r="A22" s="37">
        <f t="shared" ref="A22:A29" si="1">D3</f>
        <v>25</v>
      </c>
      <c r="B22" s="37">
        <f t="shared" ref="B22:B29" si="2">E3</f>
        <v>7.5</v>
      </c>
      <c r="C22" s="37">
        <f t="shared" ref="C22:C29" si="3">F3</f>
        <v>0.88195999999999997</v>
      </c>
      <c r="D22" s="37">
        <f t="shared" ref="D22:D29" si="4">G3</f>
        <v>9.5509999999999998E-2</v>
      </c>
      <c r="E22" s="37">
        <f t="shared" ref="E22:E29" si="5">H3</f>
        <v>2.2540000000000001E-2</v>
      </c>
      <c r="G22" s="16">
        <f t="shared" ref="G22:G29" si="6">$B$12*$B$13</f>
        <v>904297916475939.38</v>
      </c>
      <c r="H22" s="16">
        <f t="shared" ref="H22:H29" si="7">$B$12+2*$B$12*$B$13*A22*0.000000001-$B$12*$B$13*B22*0.000000001</f>
        <v>63375232.521948129</v>
      </c>
      <c r="I22" s="16">
        <f t="shared" ref="I22:I29" si="8">1+$B$12*A22*0.000000001-$B$12*B22*0.000000001</f>
        <v>1.4364949937551126</v>
      </c>
      <c r="J22" s="15">
        <f t="shared" ref="J22:J29" si="9">-B22*0.000000001</f>
        <v>-7.500000000000001E-9</v>
      </c>
      <c r="L22" s="16">
        <f t="shared" ref="L22:L29" si="10">(3*G22*I22-H22^2)/3/G22^2</f>
        <v>-4.8654282429178519E-17</v>
      </c>
      <c r="M22" s="16">
        <f t="shared" ref="M22:M29" si="11">(-H22^3/27/G22^3+H22*I22/6/G22^2-J22/2/G22)*-2</f>
        <v>-1.9905663238935811E-23</v>
      </c>
      <c r="O22" s="16">
        <f t="shared" ref="O22:O29" si="12">(M22/2)^2+(L22/3)^3</f>
        <v>9.9054591455681951E-47</v>
      </c>
      <c r="P22" s="16"/>
      <c r="Q22" s="16">
        <f t="shared" ref="Q22:Q29" si="13">(-(L22/3)^3)^(1/2)</f>
        <v>6.5313014003191065E-26</v>
      </c>
      <c r="R22" s="16" t="e">
        <f t="shared" ref="R22:R29" si="14">ACOS(-M22/2/Q22)/3</f>
        <v>#NUM!</v>
      </c>
      <c r="S22" s="16"/>
      <c r="T22" s="16">
        <f t="shared" ref="T22:T29" si="15">IFERROR((-M22/2+((M22/2)^2+(L22/3)^3)^(1/2))^(1/3)+(-M22/2-((M22/2)^2+(L22/3)^3)^(1/2))^(1/3)-H22/3/G22, 0)</f>
        <v>4.3390076661076086E-9</v>
      </c>
      <c r="U22" s="16">
        <f t="shared" ref="U22:U29" si="16">IFERROR(2*Q22^(1/3)*COS(R22)-H22/3/G22,0)</f>
        <v>0</v>
      </c>
      <c r="V22" s="16">
        <f t="shared" ref="V22:V29" si="17">IFERROR(2*Q22^(1/3)*COS(R22+3.14*2/3)-H22/3/G22,0)</f>
        <v>0</v>
      </c>
      <c r="W22" s="16">
        <f t="shared" ref="W22:W29" si="18">IFERROR(2*Q22^(1/3)*COS(R22+3.14*4/3)-H22/3/G22,)</f>
        <v>0</v>
      </c>
      <c r="X22" s="16"/>
      <c r="Y22" s="15">
        <f t="shared" ref="Y22:Y29" si="19">IF(AND(T22&gt;=0, T22&lt;=B22), T22, 0)</f>
        <v>4.3390076661076086E-9</v>
      </c>
      <c r="Z22" s="15">
        <f t="shared" ref="Z22:Z29" si="20">IF(AND(U22&gt;=0, U22&lt;=B22), U22, 0)</f>
        <v>0</v>
      </c>
      <c r="AA22" s="15">
        <f t="shared" ref="AA22:AA29" si="21">IF(AND(V22&gt;=0, V22&lt;=B22), V22, 0)</f>
        <v>0</v>
      </c>
      <c r="AB22" s="15">
        <f t="shared" ref="AB22:AB29" si="22">IF(AND(W22&gt;=0, W22&lt;=B22), W22, 0)</f>
        <v>0</v>
      </c>
      <c r="AC22" s="16"/>
    </row>
    <row r="23" spans="1:34" s="15" customFormat="1" x14ac:dyDescent="0.2">
      <c r="A23" s="37">
        <f t="shared" si="1"/>
        <v>25</v>
      </c>
      <c r="B23" s="37">
        <f t="shared" si="2"/>
        <v>15</v>
      </c>
      <c r="C23" s="37">
        <f t="shared" si="3"/>
        <v>0.80818999999999996</v>
      </c>
      <c r="D23" s="37">
        <f t="shared" si="4"/>
        <v>0.15018000000000001</v>
      </c>
      <c r="E23" s="37">
        <f t="shared" si="5"/>
        <v>4.163E-2</v>
      </c>
      <c r="G23" s="16">
        <f t="shared" si="6"/>
        <v>904297916475939.38</v>
      </c>
      <c r="H23" s="16">
        <f t="shared" si="7"/>
        <v>56592998.148378588</v>
      </c>
      <c r="I23" s="16">
        <f t="shared" si="8"/>
        <v>1.2494257107172071</v>
      </c>
      <c r="J23" s="15">
        <f t="shared" si="9"/>
        <v>-1.5000000000000002E-8</v>
      </c>
      <c r="L23" s="16">
        <f t="shared" si="10"/>
        <v>7.6140092944032484E-17</v>
      </c>
      <c r="M23" s="16">
        <f t="shared" si="11"/>
        <v>-2.725378442887075E-23</v>
      </c>
      <c r="O23" s="16">
        <f t="shared" si="12"/>
        <v>1.8570853986858091E-46</v>
      </c>
      <c r="P23" s="16"/>
      <c r="Q23" s="16" t="e">
        <f t="shared" si="13"/>
        <v>#NUM!</v>
      </c>
      <c r="R23" s="16" t="e">
        <f t="shared" si="14"/>
        <v>#NUM!</v>
      </c>
      <c r="S23" s="16"/>
      <c r="T23" s="16">
        <f t="shared" si="15"/>
        <v>8.3898114021589617E-9</v>
      </c>
      <c r="U23" s="16">
        <f t="shared" si="16"/>
        <v>0</v>
      </c>
      <c r="V23" s="16">
        <f t="shared" si="17"/>
        <v>0</v>
      </c>
      <c r="W23" s="16">
        <f t="shared" si="18"/>
        <v>0</v>
      </c>
      <c r="X23" s="16"/>
      <c r="Y23" s="15">
        <f t="shared" si="19"/>
        <v>8.3898114021589617E-9</v>
      </c>
      <c r="Z23" s="15">
        <f>IF(AND(U23&gt;=0, U23&lt;=B23), U23, 0)</f>
        <v>0</v>
      </c>
      <c r="AA23" s="15">
        <f t="shared" si="21"/>
        <v>0</v>
      </c>
      <c r="AB23" s="15">
        <f t="shared" si="22"/>
        <v>0</v>
      </c>
      <c r="AC23" s="16"/>
    </row>
    <row r="24" spans="1:34" s="15" customFormat="1" x14ac:dyDescent="0.2">
      <c r="A24" s="37">
        <f t="shared" si="1"/>
        <v>25</v>
      </c>
      <c r="B24" s="37">
        <f t="shared" si="2"/>
        <v>30</v>
      </c>
      <c r="C24" s="37">
        <f t="shared" si="3"/>
        <v>0.72184999999999999</v>
      </c>
      <c r="D24" s="37">
        <f t="shared" si="4"/>
        <v>0.21096999999999999</v>
      </c>
      <c r="E24" s="37">
        <f t="shared" si="5"/>
        <v>6.719E-2</v>
      </c>
      <c r="G24" s="16">
        <f t="shared" si="6"/>
        <v>904297916475939.38</v>
      </c>
      <c r="H24" s="16">
        <f t="shared" si="7"/>
        <v>43028529.401239499</v>
      </c>
      <c r="I24" s="16">
        <f t="shared" si="8"/>
        <v>0.87528714464139645</v>
      </c>
      <c r="J24" s="15">
        <f t="shared" si="9"/>
        <v>-3.0000000000000004E-8</v>
      </c>
      <c r="L24" s="16">
        <f t="shared" si="10"/>
        <v>2.1322884369045577E-16</v>
      </c>
      <c r="M24" s="16">
        <f t="shared" si="11"/>
        <v>-4.0546861178142461E-23</v>
      </c>
      <c r="O24" s="16">
        <f t="shared" si="12"/>
        <v>4.1137105369078647E-46</v>
      </c>
      <c r="P24" s="16"/>
      <c r="Q24" s="16" t="e">
        <f t="shared" si="13"/>
        <v>#NUM!</v>
      </c>
      <c r="R24" s="16" t="e">
        <f t="shared" si="14"/>
        <v>#NUM!</v>
      </c>
      <c r="S24" s="16"/>
      <c r="T24" s="16">
        <f t="shared" si="15"/>
        <v>1.642767083374128E-8</v>
      </c>
      <c r="U24" s="16">
        <f t="shared" si="16"/>
        <v>0</v>
      </c>
      <c r="V24" s="16">
        <f t="shared" si="17"/>
        <v>0</v>
      </c>
      <c r="W24" s="16">
        <f t="shared" si="18"/>
        <v>0</v>
      </c>
      <c r="X24" s="16"/>
      <c r="Y24" s="15">
        <f t="shared" si="19"/>
        <v>1.642767083374128E-8</v>
      </c>
      <c r="Z24" s="15">
        <f>IF(AND(U24&gt;=0, U24&lt;=B24), U24, 0)</f>
        <v>0</v>
      </c>
      <c r="AA24" s="15">
        <f t="shared" si="21"/>
        <v>0</v>
      </c>
      <c r="AB24" s="15">
        <f>IF(AND(W24&gt;=0, W24&lt;=B24), W24, 0)</f>
        <v>0</v>
      </c>
      <c r="AC24" s="16"/>
    </row>
    <row r="25" spans="1:34" s="15" customFormat="1" x14ac:dyDescent="0.2">
      <c r="A25" s="37">
        <f t="shared" si="1"/>
        <v>25</v>
      </c>
      <c r="B25" s="37">
        <f t="shared" si="2"/>
        <v>60</v>
      </c>
      <c r="C25" s="37">
        <f t="shared" si="3"/>
        <v>0.27439000000000002</v>
      </c>
      <c r="D25" s="37">
        <f t="shared" si="4"/>
        <v>0.37071999999999999</v>
      </c>
      <c r="E25" s="37">
        <f t="shared" si="5"/>
        <v>0.35488999999999998</v>
      </c>
      <c r="G25" s="16">
        <f t="shared" si="6"/>
        <v>904297916475939.38</v>
      </c>
      <c r="H25" s="16">
        <f t="shared" si="7"/>
        <v>15899591.906961314</v>
      </c>
      <c r="I25" s="16">
        <f t="shared" si="8"/>
        <v>0.12701001248977506</v>
      </c>
      <c r="J25" s="15">
        <f t="shared" si="9"/>
        <v>-6.0000000000000008E-8</v>
      </c>
      <c r="L25" s="16">
        <f t="shared" si="10"/>
        <v>3.7406345183301925E-17</v>
      </c>
      <c r="M25" s="16">
        <f t="shared" si="11"/>
        <v>-6.6770352154293186E-23</v>
      </c>
      <c r="O25" s="16">
        <f t="shared" si="12"/>
        <v>1.1145719202300325E-45</v>
      </c>
      <c r="P25" s="16"/>
      <c r="Q25" s="16" t="e">
        <f t="shared" si="13"/>
        <v>#NUM!</v>
      </c>
      <c r="R25" s="16" t="e">
        <f t="shared" si="14"/>
        <v>#NUM!</v>
      </c>
      <c r="S25" s="16"/>
      <c r="T25" s="16">
        <f t="shared" si="15"/>
        <v>3.4400932246509566E-8</v>
      </c>
      <c r="U25" s="16">
        <f t="shared" si="16"/>
        <v>0</v>
      </c>
      <c r="V25" s="16">
        <f t="shared" si="17"/>
        <v>0</v>
      </c>
      <c r="W25" s="16">
        <f t="shared" si="18"/>
        <v>0</v>
      </c>
      <c r="X25" s="16"/>
      <c r="Y25" s="15">
        <f t="shared" si="19"/>
        <v>3.4400932246509566E-8</v>
      </c>
      <c r="Z25" s="15">
        <f t="shared" si="20"/>
        <v>0</v>
      </c>
      <c r="AA25" s="15">
        <f t="shared" si="21"/>
        <v>0</v>
      </c>
      <c r="AB25" s="15">
        <f t="shared" si="22"/>
        <v>0</v>
      </c>
      <c r="AC25" s="16"/>
    </row>
    <row r="26" spans="1:34" s="15" customFormat="1" x14ac:dyDescent="0.2">
      <c r="A26" s="37">
        <f t="shared" si="1"/>
        <v>25</v>
      </c>
      <c r="B26" s="37">
        <f t="shared" si="2"/>
        <v>120</v>
      </c>
      <c r="C26" s="37">
        <f t="shared" si="3"/>
        <v>4.9099999999999998E-2</v>
      </c>
      <c r="D26" s="37">
        <f t="shared" si="4"/>
        <v>0.23097000000000001</v>
      </c>
      <c r="E26" s="37">
        <f t="shared" si="5"/>
        <v>0.71992999999999996</v>
      </c>
      <c r="G26" s="16">
        <f t="shared" si="6"/>
        <v>904297916475939.38</v>
      </c>
      <c r="H26" s="16">
        <f t="shared" si="7"/>
        <v>-38358283.081595048</v>
      </c>
      <c r="I26" s="16">
        <f t="shared" si="8"/>
        <v>-1.3695442518134677</v>
      </c>
      <c r="J26" s="15">
        <f t="shared" si="9"/>
        <v>-1.2000000000000002E-7</v>
      </c>
      <c r="L26" s="16">
        <f t="shared" si="10"/>
        <v>-2.1142386518310058E-15</v>
      </c>
      <c r="M26" s="16">
        <f t="shared" si="11"/>
        <v>-1.5976668401702387E-22</v>
      </c>
      <c r="O26" s="16">
        <f t="shared" si="12"/>
        <v>6.0313239783209338E-45</v>
      </c>
      <c r="P26" s="16"/>
      <c r="Q26" s="16">
        <f t="shared" si="13"/>
        <v>1.870893776054519E-23</v>
      </c>
      <c r="R26" s="16" t="e">
        <f t="shared" si="14"/>
        <v>#NUM!</v>
      </c>
      <c r="S26" s="16"/>
      <c r="T26" s="16">
        <f t="shared" si="15"/>
        <v>8.1197121461533031E-8</v>
      </c>
      <c r="U26" s="16">
        <f t="shared" si="16"/>
        <v>0</v>
      </c>
      <c r="V26" s="16">
        <f t="shared" si="17"/>
        <v>0</v>
      </c>
      <c r="W26" s="16">
        <f t="shared" si="18"/>
        <v>0</v>
      </c>
      <c r="X26" s="16"/>
      <c r="Y26" s="15">
        <f t="shared" si="19"/>
        <v>8.1197121461533031E-8</v>
      </c>
      <c r="Z26" s="15">
        <f t="shared" si="20"/>
        <v>0</v>
      </c>
      <c r="AA26" s="15">
        <f t="shared" si="21"/>
        <v>0</v>
      </c>
      <c r="AB26" s="15">
        <f t="shared" si="22"/>
        <v>0</v>
      </c>
      <c r="AC26" s="16"/>
    </row>
    <row r="27" spans="1:34" s="15" customFormat="1" x14ac:dyDescent="0.2">
      <c r="A27" s="37">
        <f t="shared" si="1"/>
        <v>0</v>
      </c>
      <c r="B27" s="37">
        <f t="shared" si="2"/>
        <v>0</v>
      </c>
      <c r="C27" s="37">
        <f t="shared" si="3"/>
        <v>0</v>
      </c>
      <c r="D27" s="37">
        <f t="shared" si="4"/>
        <v>0</v>
      </c>
      <c r="E27" s="37">
        <f t="shared" si="5"/>
        <v>0</v>
      </c>
      <c r="G27" s="16">
        <f t="shared" si="6"/>
        <v>904297916475939.38</v>
      </c>
      <c r="H27" s="16">
        <f t="shared" si="7"/>
        <v>24942571.071720712</v>
      </c>
      <c r="I27" s="16">
        <f t="shared" si="8"/>
        <v>1</v>
      </c>
      <c r="J27" s="15">
        <f t="shared" si="9"/>
        <v>0</v>
      </c>
      <c r="L27" s="16">
        <f t="shared" si="10"/>
        <v>8.522367576202377E-16</v>
      </c>
      <c r="M27" s="16">
        <f t="shared" si="11"/>
        <v>-8.6127223202469938E-24</v>
      </c>
      <c r="O27" s="16">
        <f t="shared" si="12"/>
        <v>4.1470151670991103E-47</v>
      </c>
      <c r="P27" s="16"/>
      <c r="Q27" s="16" t="e">
        <f t="shared" si="13"/>
        <v>#NUM!</v>
      </c>
      <c r="R27" s="16" t="e">
        <f t="shared" si="14"/>
        <v>#NUM!</v>
      </c>
      <c r="S27" s="16"/>
      <c r="T27" s="16">
        <f t="shared" si="15"/>
        <v>1.1580528575742387E-23</v>
      </c>
      <c r="U27" s="16">
        <f t="shared" si="16"/>
        <v>0</v>
      </c>
      <c r="V27" s="16">
        <f t="shared" si="17"/>
        <v>0</v>
      </c>
      <c r="W27" s="16">
        <f t="shared" si="18"/>
        <v>0</v>
      </c>
      <c r="X27" s="16"/>
      <c r="Y27" s="15">
        <f t="shared" si="19"/>
        <v>0</v>
      </c>
      <c r="Z27" s="15">
        <f t="shared" si="20"/>
        <v>0</v>
      </c>
      <c r="AA27" s="15">
        <f t="shared" si="21"/>
        <v>0</v>
      </c>
      <c r="AB27" s="15">
        <f t="shared" si="22"/>
        <v>0</v>
      </c>
      <c r="AC27" s="16"/>
    </row>
    <row r="28" spans="1:34" s="15" customFormat="1" x14ac:dyDescent="0.2">
      <c r="A28" s="37">
        <f t="shared" si="1"/>
        <v>0</v>
      </c>
      <c r="B28" s="37">
        <f t="shared" si="2"/>
        <v>0</v>
      </c>
      <c r="C28" s="37">
        <f t="shared" si="3"/>
        <v>0</v>
      </c>
      <c r="D28" s="37">
        <f t="shared" si="4"/>
        <v>0</v>
      </c>
      <c r="E28" s="37">
        <f t="shared" si="5"/>
        <v>0</v>
      </c>
      <c r="G28" s="16">
        <f t="shared" si="6"/>
        <v>904297916475939.38</v>
      </c>
      <c r="H28" s="16">
        <f t="shared" si="7"/>
        <v>24942571.071720712</v>
      </c>
      <c r="I28" s="16">
        <f t="shared" si="8"/>
        <v>1</v>
      </c>
      <c r="J28" s="15">
        <f t="shared" si="9"/>
        <v>0</v>
      </c>
      <c r="L28" s="16">
        <f t="shared" si="10"/>
        <v>8.522367576202377E-16</v>
      </c>
      <c r="M28" s="16">
        <f t="shared" si="11"/>
        <v>-8.6127223202469938E-24</v>
      </c>
      <c r="O28" s="16">
        <f t="shared" si="12"/>
        <v>4.1470151670991103E-47</v>
      </c>
      <c r="P28" s="16"/>
      <c r="Q28" s="16" t="e">
        <f t="shared" si="13"/>
        <v>#NUM!</v>
      </c>
      <c r="R28" s="16" t="e">
        <f t="shared" si="14"/>
        <v>#NUM!</v>
      </c>
      <c r="S28" s="16"/>
      <c r="T28" s="16">
        <f t="shared" si="15"/>
        <v>1.1580528575742387E-23</v>
      </c>
      <c r="U28" s="16">
        <f t="shared" si="16"/>
        <v>0</v>
      </c>
      <c r="V28" s="16">
        <f t="shared" si="17"/>
        <v>0</v>
      </c>
      <c r="W28" s="16">
        <f t="shared" si="18"/>
        <v>0</v>
      </c>
      <c r="X28" s="16"/>
      <c r="Y28" s="15">
        <f t="shared" si="19"/>
        <v>0</v>
      </c>
      <c r="Z28" s="15">
        <f t="shared" si="20"/>
        <v>0</v>
      </c>
      <c r="AA28" s="15">
        <f t="shared" si="21"/>
        <v>0</v>
      </c>
      <c r="AB28" s="15">
        <f t="shared" si="22"/>
        <v>0</v>
      </c>
      <c r="AC28" s="16"/>
    </row>
    <row r="29" spans="1:34" s="15" customFormat="1" x14ac:dyDescent="0.2">
      <c r="A29" s="37">
        <f t="shared" si="1"/>
        <v>0</v>
      </c>
      <c r="B29" s="37">
        <f t="shared" si="2"/>
        <v>0</v>
      </c>
      <c r="C29" s="37">
        <f t="shared" si="3"/>
        <v>0</v>
      </c>
      <c r="D29" s="37">
        <f t="shared" si="4"/>
        <v>0</v>
      </c>
      <c r="E29" s="37">
        <f t="shared" si="5"/>
        <v>0</v>
      </c>
      <c r="G29" s="16">
        <f t="shared" si="6"/>
        <v>904297916475939.38</v>
      </c>
      <c r="H29" s="16">
        <f t="shared" si="7"/>
        <v>24942571.071720712</v>
      </c>
      <c r="I29" s="16">
        <f t="shared" si="8"/>
        <v>1</v>
      </c>
      <c r="J29" s="15">
        <f t="shared" si="9"/>
        <v>0</v>
      </c>
      <c r="L29" s="16">
        <f t="shared" si="10"/>
        <v>8.522367576202377E-16</v>
      </c>
      <c r="M29" s="16">
        <f t="shared" si="11"/>
        <v>-8.6127223202469938E-24</v>
      </c>
      <c r="O29" s="16">
        <f t="shared" si="12"/>
        <v>4.1470151670991103E-47</v>
      </c>
      <c r="P29" s="16"/>
      <c r="Q29" s="16" t="e">
        <f t="shared" si="13"/>
        <v>#NUM!</v>
      </c>
      <c r="R29" s="16" t="e">
        <f t="shared" si="14"/>
        <v>#NUM!</v>
      </c>
      <c r="S29" s="16"/>
      <c r="T29" s="16">
        <f t="shared" si="15"/>
        <v>1.1580528575742387E-23</v>
      </c>
      <c r="U29" s="16">
        <f t="shared" si="16"/>
        <v>0</v>
      </c>
      <c r="V29" s="16">
        <f t="shared" si="17"/>
        <v>0</v>
      </c>
      <c r="W29" s="16">
        <f t="shared" si="18"/>
        <v>0</v>
      </c>
      <c r="X29" s="16"/>
      <c r="Y29" s="15">
        <f t="shared" si="19"/>
        <v>0</v>
      </c>
      <c r="Z29" s="15">
        <f t="shared" si="20"/>
        <v>0</v>
      </c>
      <c r="AA29" s="15">
        <f t="shared" si="21"/>
        <v>0</v>
      </c>
      <c r="AB29" s="15">
        <f t="shared" si="22"/>
        <v>0</v>
      </c>
      <c r="AC29" s="16"/>
    </row>
    <row r="30" spans="1:34" s="25" customFormat="1" x14ac:dyDescent="0.2">
      <c r="A30" s="25" t="s">
        <v>43</v>
      </c>
      <c r="B30" s="25" t="s">
        <v>44</v>
      </c>
      <c r="C30" s="25" t="s">
        <v>45</v>
      </c>
      <c r="D30" s="25" t="s">
        <v>46</v>
      </c>
      <c r="F30" s="25" t="s">
        <v>26</v>
      </c>
      <c r="G30" s="26"/>
      <c r="H30" s="26"/>
      <c r="I30" s="26"/>
      <c r="L30" s="26"/>
      <c r="M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s="17" customFormat="1" x14ac:dyDescent="0.2">
      <c r="A31" s="17">
        <f t="shared" ref="A31:A39" si="23">SUM(Y21:AB21)</f>
        <v>0</v>
      </c>
      <c r="B31" s="18">
        <f>A21*0.000000001/(1+$B$12*A31+$B$12*$B$13*A31^2)</f>
        <v>2.5000000000000002E-8</v>
      </c>
      <c r="C31" s="18">
        <f>$B$12*A31*B31</f>
        <v>0</v>
      </c>
      <c r="D31" s="18">
        <f>$B$12*$B$13*B31*A31^2</f>
        <v>0</v>
      </c>
      <c r="E31" s="18"/>
      <c r="F31" s="18">
        <f>B31+C31+D31+1E-30</f>
        <v>2.5000000000000002E-8</v>
      </c>
      <c r="G31" s="18"/>
      <c r="H31" s="18"/>
      <c r="I31" s="18"/>
      <c r="L31" s="18"/>
      <c r="M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s="17" customFormat="1" x14ac:dyDescent="0.2">
      <c r="A32" s="17">
        <f t="shared" si="23"/>
        <v>4.3390076661076086E-9</v>
      </c>
      <c r="B32" s="18">
        <f t="shared" ref="B32:B39" si="24">A22*0.000000001/(1+$B$12*A32+$B$12*$B$13*A32^2)</f>
        <v>2.2217261104136534E-8</v>
      </c>
      <c r="C32" s="18">
        <f t="shared" ref="C32:C39" si="25">$B$12*A32*B32</f>
        <v>2.4044854578350941E-9</v>
      </c>
      <c r="D32" s="18">
        <f t="shared" ref="D32:D39" si="26">$B$12*$B$13*B32*A32^2</f>
        <v>3.7825343802837534E-10</v>
      </c>
      <c r="E32" s="18"/>
      <c r="F32" s="18">
        <f t="shared" ref="F32:F39" si="27">B32+C32+D32+1E-30</f>
        <v>2.5000000000000002E-8</v>
      </c>
      <c r="G32" s="18"/>
      <c r="H32" s="18"/>
      <c r="I32" s="18"/>
      <c r="L32" s="18"/>
      <c r="M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s="17" customFormat="1" x14ac:dyDescent="0.2">
      <c r="A33" s="17">
        <f t="shared" si="23"/>
        <v>8.3898114021589617E-9</v>
      </c>
      <c r="B33" s="18">
        <f t="shared" si="24"/>
        <v>1.963994428315486E-8</v>
      </c>
      <c r="C33" s="18">
        <f t="shared" si="25"/>
        <v>4.1099228358498542E-9</v>
      </c>
      <c r="D33" s="18">
        <f t="shared" si="26"/>
        <v>1.2501328809952851E-9</v>
      </c>
      <c r="E33" s="18"/>
      <c r="F33" s="18">
        <f t="shared" si="27"/>
        <v>2.4999999999999999E-8</v>
      </c>
      <c r="G33" s="18"/>
      <c r="H33" s="18"/>
      <c r="I33" s="18"/>
      <c r="L33" s="18"/>
      <c r="M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s="17" customFormat="1" x14ac:dyDescent="0.2">
      <c r="A34" s="17">
        <f t="shared" si="23"/>
        <v>1.642767083374128E-8</v>
      </c>
      <c r="B34" s="18">
        <f t="shared" si="24"/>
        <v>1.511679461233098E-8</v>
      </c>
      <c r="C34" s="18">
        <f t="shared" si="25"/>
        <v>6.1940816090791115E-9</v>
      </c>
      <c r="D34" s="18">
        <f t="shared" si="26"/>
        <v>3.6891237785899123E-9</v>
      </c>
      <c r="E34" s="18"/>
      <c r="F34" s="18">
        <f t="shared" si="27"/>
        <v>2.5000000000000002E-8</v>
      </c>
      <c r="G34" s="18"/>
      <c r="H34" s="18"/>
      <c r="I34" s="18"/>
      <c r="L34" s="18"/>
      <c r="M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s="17" customFormat="1" x14ac:dyDescent="0.2">
      <c r="A35" s="17">
        <f t="shared" si="23"/>
        <v>3.4400932246509566E-8</v>
      </c>
      <c r="B35" s="18">
        <f t="shared" si="24"/>
        <v>8.5376224714216465E-9</v>
      </c>
      <c r="C35" s="18">
        <f t="shared" si="25"/>
        <v>7.325687303659419E-9</v>
      </c>
      <c r="D35" s="18">
        <f t="shared" si="26"/>
        <v>9.1366902249189366E-9</v>
      </c>
      <c r="E35" s="18"/>
      <c r="F35" s="18">
        <f t="shared" si="27"/>
        <v>2.5000000000000002E-8</v>
      </c>
      <c r="G35" s="18"/>
      <c r="H35" s="18"/>
      <c r="I35" s="18"/>
      <c r="L35" s="18"/>
      <c r="M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s="17" customFormat="1" x14ac:dyDescent="0.2">
      <c r="A36" s="17">
        <f t="shared" si="23"/>
        <v>8.1197121461533031E-8</v>
      </c>
      <c r="B36" s="18">
        <f t="shared" si="24"/>
        <v>2.7817104058965893E-9</v>
      </c>
      <c r="C36" s="18">
        <f t="shared" si="25"/>
        <v>5.6337006497398847E-9</v>
      </c>
      <c r="D36" s="18">
        <f t="shared" si="26"/>
        <v>1.6584588944363532E-8</v>
      </c>
      <c r="E36" s="18"/>
      <c r="F36" s="18">
        <f t="shared" si="27"/>
        <v>2.5000000000000005E-8</v>
      </c>
      <c r="G36" s="18"/>
      <c r="H36" s="18"/>
      <c r="I36" s="18"/>
      <c r="L36" s="18"/>
      <c r="M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s="17" customFormat="1" x14ac:dyDescent="0.2">
      <c r="A37" s="17">
        <f t="shared" si="23"/>
        <v>0</v>
      </c>
      <c r="B37" s="18">
        <f t="shared" si="24"/>
        <v>0</v>
      </c>
      <c r="C37" s="18">
        <f t="shared" si="25"/>
        <v>0</v>
      </c>
      <c r="D37" s="18">
        <f t="shared" si="26"/>
        <v>0</v>
      </c>
      <c r="E37" s="18"/>
      <c r="F37" s="18">
        <f t="shared" si="27"/>
        <v>1.0000000000000001E-30</v>
      </c>
      <c r="G37" s="18"/>
      <c r="H37" s="18"/>
      <c r="I37" s="18"/>
      <c r="L37" s="18"/>
      <c r="M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s="17" customFormat="1" x14ac:dyDescent="0.2">
      <c r="A38" s="17">
        <f t="shared" si="23"/>
        <v>0</v>
      </c>
      <c r="B38" s="18">
        <f t="shared" si="24"/>
        <v>0</v>
      </c>
      <c r="C38" s="18">
        <f t="shared" si="25"/>
        <v>0</v>
      </c>
      <c r="D38" s="18">
        <f t="shared" si="26"/>
        <v>0</v>
      </c>
      <c r="E38" s="18"/>
      <c r="F38" s="18">
        <f t="shared" si="27"/>
        <v>1.0000000000000001E-30</v>
      </c>
      <c r="G38" s="18"/>
      <c r="H38" s="18"/>
      <c r="I38" s="18"/>
      <c r="L38" s="18"/>
      <c r="M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s="17" customFormat="1" x14ac:dyDescent="0.2">
      <c r="A39" s="17">
        <f t="shared" si="23"/>
        <v>0</v>
      </c>
      <c r="B39" s="18">
        <f t="shared" si="24"/>
        <v>0</v>
      </c>
      <c r="C39" s="18">
        <f t="shared" si="25"/>
        <v>0</v>
      </c>
      <c r="D39" s="18">
        <f t="shared" si="26"/>
        <v>0</v>
      </c>
      <c r="F39" s="18">
        <f t="shared" si="27"/>
        <v>1.0000000000000001E-30</v>
      </c>
    </row>
    <row r="40" spans="1:34" s="30" customFormat="1" x14ac:dyDescent="0.2">
      <c r="A40" s="29" t="s">
        <v>40</v>
      </c>
      <c r="C40" s="29" t="s">
        <v>2</v>
      </c>
      <c r="D40" s="29" t="s">
        <v>3</v>
      </c>
      <c r="E40" s="29" t="s">
        <v>4</v>
      </c>
    </row>
    <row r="41" spans="1:34" s="32" customFormat="1" x14ac:dyDescent="0.2">
      <c r="A41" s="31"/>
      <c r="C41" s="33">
        <f t="shared" ref="C41:C49" si="28">B31/F31</f>
        <v>1</v>
      </c>
      <c r="D41" s="33">
        <f t="shared" ref="D41:D49" si="29">C31/F31</f>
        <v>0</v>
      </c>
      <c r="E41" s="33">
        <f t="shared" ref="E41:E49" si="30">D31/F31</f>
        <v>0</v>
      </c>
    </row>
    <row r="42" spans="1:34" s="32" customFormat="1" x14ac:dyDescent="0.2">
      <c r="C42" s="33">
        <f t="shared" si="28"/>
        <v>0.88869044416546128</v>
      </c>
      <c r="D42" s="33">
        <f t="shared" si="29"/>
        <v>9.617941831340375E-2</v>
      </c>
      <c r="E42" s="33">
        <f t="shared" si="30"/>
        <v>1.5130137521135012E-2</v>
      </c>
      <c r="F42" s="33"/>
    </row>
    <row r="43" spans="1:34" s="32" customFormat="1" x14ac:dyDescent="0.2">
      <c r="A43" s="33"/>
      <c r="C43" s="33">
        <f t="shared" si="28"/>
        <v>0.78559777132619446</v>
      </c>
      <c r="D43" s="33">
        <f t="shared" si="29"/>
        <v>0.16439691343399418</v>
      </c>
      <c r="E43" s="33">
        <f t="shared" si="30"/>
        <v>5.0005315239811408E-2</v>
      </c>
      <c r="F43" s="33"/>
    </row>
    <row r="44" spans="1:34" s="32" customFormat="1" x14ac:dyDescent="0.2">
      <c r="A44" s="33"/>
      <c r="C44" s="33">
        <f t="shared" si="28"/>
        <v>0.60467178449323911</v>
      </c>
      <c r="D44" s="33">
        <f t="shared" si="29"/>
        <v>0.24776326436316443</v>
      </c>
      <c r="E44" s="33">
        <f t="shared" si="30"/>
        <v>0.14756495114359647</v>
      </c>
      <c r="F44" s="33"/>
    </row>
    <row r="45" spans="1:34" s="32" customFormat="1" x14ac:dyDescent="0.2">
      <c r="A45" s="33"/>
      <c r="C45" s="33">
        <f t="shared" si="28"/>
        <v>0.34150489885686586</v>
      </c>
      <c r="D45" s="33">
        <f t="shared" si="29"/>
        <v>0.29302749214637674</v>
      </c>
      <c r="E45" s="33">
        <f t="shared" si="30"/>
        <v>0.36546760899675745</v>
      </c>
      <c r="F45" s="33"/>
    </row>
    <row r="46" spans="1:34" s="32" customFormat="1" x14ac:dyDescent="0.2">
      <c r="A46" s="33"/>
      <c r="C46" s="33">
        <f t="shared" si="28"/>
        <v>0.11126841623586355</v>
      </c>
      <c r="D46" s="33">
        <f t="shared" si="29"/>
        <v>0.22534802598959533</v>
      </c>
      <c r="E46" s="33">
        <f t="shared" si="30"/>
        <v>0.66338355777454117</v>
      </c>
      <c r="F46" s="33"/>
    </row>
    <row r="47" spans="1:34" s="32" customFormat="1" x14ac:dyDescent="0.2">
      <c r="A47" s="33"/>
      <c r="C47" s="33">
        <f t="shared" si="28"/>
        <v>0</v>
      </c>
      <c r="D47" s="33">
        <f t="shared" si="29"/>
        <v>0</v>
      </c>
      <c r="E47" s="33">
        <f t="shared" si="30"/>
        <v>0</v>
      </c>
    </row>
    <row r="48" spans="1:34" s="32" customFormat="1" x14ac:dyDescent="0.2">
      <c r="A48" s="33"/>
      <c r="C48" s="33">
        <f t="shared" si="28"/>
        <v>0</v>
      </c>
      <c r="D48" s="33">
        <f t="shared" si="29"/>
        <v>0</v>
      </c>
      <c r="E48" s="33">
        <f t="shared" si="30"/>
        <v>0</v>
      </c>
    </row>
    <row r="49" spans="1:5" s="32" customFormat="1" x14ac:dyDescent="0.2">
      <c r="A49" s="33"/>
      <c r="C49" s="33">
        <f t="shared" si="28"/>
        <v>0</v>
      </c>
      <c r="D49" s="33">
        <f t="shared" si="29"/>
        <v>0</v>
      </c>
      <c r="E49" s="33">
        <f t="shared" si="30"/>
        <v>0</v>
      </c>
    </row>
    <row r="50" spans="1:5" s="28" customFormat="1" x14ac:dyDescent="0.2">
      <c r="A50" s="27" t="s">
        <v>27</v>
      </c>
      <c r="C50" s="34"/>
    </row>
    <row r="51" spans="1:5" s="19" customFormat="1" x14ac:dyDescent="0.2">
      <c r="C51" s="20">
        <f t="shared" ref="C51:E56" si="31">(C21-C41)^2</f>
        <v>0</v>
      </c>
      <c r="D51" s="20">
        <f t="shared" si="31"/>
        <v>0</v>
      </c>
      <c r="E51" s="20">
        <f t="shared" si="31"/>
        <v>0</v>
      </c>
    </row>
    <row r="52" spans="1:5" s="19" customFormat="1" x14ac:dyDescent="0.2">
      <c r="C52" s="20">
        <f t="shared" si="31"/>
        <v>4.5298878664392234E-5</v>
      </c>
      <c r="D52" s="20">
        <f t="shared" si="31"/>
        <v>4.4812087832032438E-7</v>
      </c>
      <c r="E52" s="20">
        <f t="shared" si="31"/>
        <v>5.49060619556912E-5</v>
      </c>
    </row>
    <row r="53" spans="1:5" s="19" customFormat="1" x14ac:dyDescent="0.2">
      <c r="C53" s="20">
        <f t="shared" si="31"/>
        <v>5.1040879644951957E-4</v>
      </c>
      <c r="D53" s="20">
        <f t="shared" si="31"/>
        <v>2.0212062758968394E-4</v>
      </c>
      <c r="E53" s="20">
        <f t="shared" si="31"/>
        <v>7.0145905366217218E-5</v>
      </c>
    </row>
    <row r="54" spans="1:5" s="19" customFormat="1" x14ac:dyDescent="0.2">
      <c r="C54" s="20">
        <f t="shared" si="31"/>
        <v>1.3730734189348897E-2</v>
      </c>
      <c r="D54" s="20">
        <f t="shared" si="31"/>
        <v>1.353744302497706E-3</v>
      </c>
      <c r="E54" s="20">
        <f t="shared" si="31"/>
        <v>6.4601327713355193E-3</v>
      </c>
    </row>
    <row r="55" spans="1:5" s="19" customFormat="1" x14ac:dyDescent="0.2">
      <c r="C55" s="20">
        <f t="shared" si="31"/>
        <v>4.5044096485673309E-3</v>
      </c>
      <c r="D55" s="20">
        <f t="shared" si="31"/>
        <v>6.0361257765853106E-3</v>
      </c>
      <c r="E55" s="20">
        <f t="shared" si="31"/>
        <v>1.1188581208828458E-4</v>
      </c>
    </row>
    <row r="56" spans="1:5" s="19" customFormat="1" x14ac:dyDescent="0.2">
      <c r="C56" s="20">
        <f t="shared" si="31"/>
        <v>3.8649119772755825E-3</v>
      </c>
      <c r="D56" s="20">
        <f t="shared" si="31"/>
        <v>3.1606591773665669E-5</v>
      </c>
      <c r="E56" s="20">
        <f t="shared" si="31"/>
        <v>3.1975001283571489E-3</v>
      </c>
    </row>
    <row r="57" spans="1:5" s="19" customFormat="1" x14ac:dyDescent="0.2">
      <c r="C57" s="20">
        <f t="shared" ref="C57:E57" si="32">(C27-C47)^2</f>
        <v>0</v>
      </c>
      <c r="D57" s="20">
        <f t="shared" si="32"/>
        <v>0</v>
      </c>
      <c r="E57" s="20">
        <f t="shared" si="32"/>
        <v>0</v>
      </c>
    </row>
    <row r="58" spans="1:5" s="19" customFormat="1" x14ac:dyDescent="0.2">
      <c r="C58" s="20">
        <f t="shared" ref="C58:E58" si="33">(C28-C48)^2</f>
        <v>0</v>
      </c>
      <c r="D58" s="20">
        <f t="shared" si="33"/>
        <v>0</v>
      </c>
      <c r="E58" s="20">
        <f t="shared" si="33"/>
        <v>0</v>
      </c>
    </row>
    <row r="59" spans="1:5" s="19" customFormat="1" x14ac:dyDescent="0.2">
      <c r="C59" s="20">
        <f t="shared" ref="C59:E59" si="34">(C29-C49)^2</f>
        <v>0</v>
      </c>
      <c r="D59" s="20">
        <f t="shared" si="34"/>
        <v>0</v>
      </c>
      <c r="E59" s="20">
        <f t="shared" si="34"/>
        <v>0</v>
      </c>
    </row>
    <row r="60" spans="1:5" s="35" customFormat="1" x14ac:dyDescent="0.2">
      <c r="C60" s="36"/>
      <c r="D60" s="36"/>
      <c r="E60" s="36"/>
    </row>
    <row r="61" spans="1:5" x14ac:dyDescent="0.2">
      <c r="A61" s="21"/>
      <c r="C61" s="13"/>
      <c r="D61" s="13"/>
      <c r="E61" s="13"/>
    </row>
  </sheetData>
  <mergeCells count="1">
    <mergeCell ref="U20:W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ADDA-212C-44EA-B511-F7DCF582BE98}">
  <dimension ref="A1:T35"/>
  <sheetViews>
    <sheetView topLeftCell="A31" workbookViewId="0">
      <selection activeCell="A31" sqref="A1:XFD1048576"/>
    </sheetView>
  </sheetViews>
  <sheetFormatPr defaultRowHeight="14.25" x14ac:dyDescent="0.2"/>
  <cols>
    <col min="1" max="2" width="10.8984375" bestFit="1" customWidth="1"/>
    <col min="8" max="8" width="9.19921875" bestFit="1" customWidth="1"/>
  </cols>
  <sheetData>
    <row r="1" spans="1:20" x14ac:dyDescent="0.2">
      <c r="B1" s="8"/>
    </row>
    <row r="2" spans="1:20" x14ac:dyDescent="0.2">
      <c r="B2" s="8"/>
    </row>
    <row r="4" spans="1:20" x14ac:dyDescent="0.2">
      <c r="B4" s="1"/>
    </row>
    <row r="5" spans="1:20" x14ac:dyDescent="0.2">
      <c r="B5" s="1"/>
    </row>
    <row r="7" spans="1:20" x14ac:dyDescent="0.2">
      <c r="B7" s="9"/>
    </row>
    <row r="12" spans="1:20" x14ac:dyDescent="0.2">
      <c r="A12" s="10"/>
      <c r="B12" s="11"/>
      <c r="C12" s="11"/>
      <c r="D12" s="11"/>
      <c r="E12" s="11"/>
      <c r="G12" s="1"/>
      <c r="H12" s="1"/>
      <c r="I12" s="1"/>
      <c r="L12" s="1"/>
      <c r="M12" s="1"/>
      <c r="O12" s="1"/>
      <c r="P12" s="1"/>
      <c r="Q12" s="1"/>
      <c r="R12" s="1"/>
      <c r="S12" s="1"/>
      <c r="T12" s="1"/>
    </row>
    <row r="13" spans="1:20" x14ac:dyDescent="0.2">
      <c r="A13" s="1"/>
      <c r="B13" s="1"/>
      <c r="G13" s="1"/>
      <c r="H13" s="1"/>
      <c r="I13" s="1"/>
      <c r="L13" s="1"/>
      <c r="M13" s="1"/>
      <c r="O13" s="1"/>
      <c r="P13" s="1"/>
      <c r="Q13" s="1"/>
      <c r="R13" s="1"/>
      <c r="S13" s="1"/>
      <c r="T13" s="1"/>
    </row>
    <row r="14" spans="1:20" x14ac:dyDescent="0.2">
      <c r="A14" s="1"/>
      <c r="B14" s="1"/>
      <c r="G14" s="1"/>
      <c r="H14" s="1"/>
      <c r="I14" s="1"/>
      <c r="L14" s="1"/>
      <c r="M14" s="1"/>
      <c r="O14" s="1"/>
      <c r="P14" s="1"/>
      <c r="Q14" s="1"/>
      <c r="R14" s="1"/>
      <c r="S14" s="1"/>
      <c r="T14" s="1"/>
    </row>
    <row r="15" spans="1:20" x14ac:dyDescent="0.2">
      <c r="A15" s="1"/>
      <c r="B15" s="1"/>
      <c r="G15" s="1"/>
      <c r="H15" s="1"/>
      <c r="I15" s="1"/>
      <c r="L15" s="1"/>
      <c r="M15" s="1"/>
      <c r="O15" s="1"/>
      <c r="P15" s="1"/>
      <c r="Q15" s="1"/>
      <c r="R15" s="1"/>
      <c r="S15" s="1"/>
      <c r="T15" s="1"/>
    </row>
    <row r="16" spans="1:20" x14ac:dyDescent="0.2">
      <c r="A16" s="1"/>
      <c r="B16" s="1"/>
      <c r="G16" s="1"/>
      <c r="H16" s="1"/>
      <c r="I16" s="1"/>
      <c r="L16" s="1"/>
      <c r="M16" s="1"/>
      <c r="O16" s="1"/>
      <c r="P16" s="1"/>
      <c r="Q16" s="1"/>
      <c r="R16" s="1"/>
      <c r="S16" s="1"/>
      <c r="T16" s="1"/>
    </row>
    <row r="17" spans="1:20" x14ac:dyDescent="0.2">
      <c r="A17" s="1"/>
      <c r="B17" s="1"/>
      <c r="G17" s="1"/>
      <c r="H17" s="1"/>
      <c r="I17" s="1"/>
      <c r="L17" s="1"/>
      <c r="M17" s="1"/>
      <c r="O17" s="1"/>
      <c r="P17" s="1"/>
      <c r="Q17" s="1"/>
      <c r="R17" s="1"/>
      <c r="S17" s="1"/>
      <c r="T17" s="1"/>
    </row>
    <row r="21" spans="1:20" x14ac:dyDescent="0.2">
      <c r="C21" s="1"/>
      <c r="D21" s="1"/>
      <c r="E21" s="1"/>
    </row>
    <row r="22" spans="1:20" x14ac:dyDescent="0.2">
      <c r="C22" s="1"/>
      <c r="D22" s="1"/>
      <c r="E22" s="1"/>
    </row>
    <row r="23" spans="1:20" x14ac:dyDescent="0.2">
      <c r="A23" s="1"/>
      <c r="C23" s="1"/>
      <c r="D23" s="1"/>
      <c r="E23" s="1"/>
    </row>
    <row r="24" spans="1:20" x14ac:dyDescent="0.2">
      <c r="A24" s="1"/>
      <c r="C24" s="1"/>
      <c r="D24" s="1"/>
      <c r="E24" s="1"/>
    </row>
    <row r="25" spans="1:20" x14ac:dyDescent="0.2">
      <c r="A25" s="1"/>
      <c r="C25" s="1"/>
      <c r="D25" s="1"/>
      <c r="E25" s="1"/>
    </row>
    <row r="26" spans="1:20" x14ac:dyDescent="0.2">
      <c r="A26" s="1"/>
      <c r="C26" s="1"/>
      <c r="D26" s="1"/>
      <c r="E26" s="1"/>
    </row>
    <row r="27" spans="1:20" x14ac:dyDescent="0.2">
      <c r="A27" s="1"/>
      <c r="C27" s="1"/>
    </row>
    <row r="28" spans="1:20" x14ac:dyDescent="0.2">
      <c r="C28" s="1"/>
      <c r="D28" s="1"/>
      <c r="E28" s="1"/>
    </row>
    <row r="29" spans="1:20" x14ac:dyDescent="0.2">
      <c r="C29" s="1"/>
      <c r="D29" s="1"/>
      <c r="E29" s="1"/>
    </row>
    <row r="30" spans="1:20" x14ac:dyDescent="0.2">
      <c r="C30" s="1"/>
      <c r="D30" s="1"/>
      <c r="E30" s="1"/>
    </row>
    <row r="31" spans="1:20" x14ac:dyDescent="0.2">
      <c r="C31" s="1"/>
      <c r="D31" s="1"/>
      <c r="E31" s="1"/>
    </row>
    <row r="32" spans="1:20" x14ac:dyDescent="0.2">
      <c r="C32" s="1"/>
      <c r="D32" s="1"/>
      <c r="E32" s="1"/>
    </row>
    <row r="33" spans="3:5" x14ac:dyDescent="0.2">
      <c r="C33" s="1"/>
      <c r="D33" s="1"/>
      <c r="E33" s="1"/>
    </row>
    <row r="34" spans="3:5" x14ac:dyDescent="0.2">
      <c r="C34" s="1"/>
      <c r="D34" s="1"/>
      <c r="E34" s="1"/>
    </row>
    <row r="35" spans="3:5" x14ac:dyDescent="0.2">
      <c r="C35" s="1"/>
      <c r="D35" s="1"/>
      <c r="E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Limits Report 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Di (NIH/NHLBI) [C]</dc:creator>
  <cp:lastModifiedBy>Wu, Di (NIH/NHLBI) [C]</cp:lastModifiedBy>
  <dcterms:created xsi:type="dcterms:W3CDTF">2020-03-30T18:45:11Z</dcterms:created>
  <dcterms:modified xsi:type="dcterms:W3CDTF">2020-08-24T02:50:34Z</dcterms:modified>
</cp:coreProperties>
</file>