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0380" windowHeight="8970"/>
  </bookViews>
  <sheets>
    <sheet name="Stock solutions" sheetId="1" r:id="rId1"/>
  </sheets>
  <definedNames>
    <definedName name="_xlnm.Print_Area" localSheetId="0">'Stock solutions'!$A$1:$O$27</definedName>
  </definedNames>
  <calcPr calcId="145621"/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I38" i="1" l="1"/>
  <c r="L23" i="1" l="1"/>
  <c r="K24" i="1" l="1"/>
  <c r="K23" i="1" l="1"/>
  <c r="J23" i="1"/>
  <c r="M23" i="1"/>
  <c r="K25" i="1" l="1"/>
  <c r="K26" i="1"/>
  <c r="K27" i="1"/>
  <c r="K28" i="1"/>
  <c r="L24" i="1"/>
  <c r="L25" i="1"/>
  <c r="L26" i="1"/>
  <c r="L27" i="1"/>
  <c r="L28" i="1"/>
  <c r="M24" i="1"/>
  <c r="M25" i="1"/>
  <c r="M26" i="1"/>
  <c r="M27" i="1"/>
  <c r="M28" i="1"/>
  <c r="J24" i="1"/>
  <c r="J25" i="1"/>
  <c r="J26" i="1"/>
  <c r="J27" i="1"/>
  <c r="J28" i="1"/>
  <c r="L15" i="1" l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D34" i="1" l="1"/>
  <c r="H34" i="1"/>
  <c r="M34" i="1"/>
  <c r="B34" i="1"/>
  <c r="E34" i="1"/>
  <c r="J34" i="1"/>
  <c r="F34" i="1"/>
  <c r="K34" i="1"/>
  <c r="C34" i="1"/>
  <c r="G34" i="1"/>
  <c r="L34" i="1"/>
  <c r="F35" i="1"/>
  <c r="K35" i="1"/>
  <c r="C35" i="1"/>
  <c r="G35" i="1"/>
  <c r="L35" i="1"/>
  <c r="B35" i="1"/>
  <c r="D35" i="1"/>
  <c r="H35" i="1"/>
  <c r="M35" i="1"/>
  <c r="E35" i="1"/>
  <c r="J35" i="1"/>
  <c r="F33" i="1"/>
  <c r="K33" i="1"/>
  <c r="M33" i="1"/>
  <c r="C33" i="1"/>
  <c r="G33" i="1"/>
  <c r="L33" i="1"/>
  <c r="D33" i="1"/>
  <c r="H33" i="1"/>
  <c r="E33" i="1"/>
  <c r="J33" i="1"/>
  <c r="B33" i="1"/>
  <c r="E32" i="1"/>
  <c r="J32" i="1"/>
  <c r="F32" i="1"/>
  <c r="K32" i="1"/>
  <c r="C32" i="1"/>
  <c r="G32" i="1"/>
  <c r="L32" i="1"/>
  <c r="B32" i="1"/>
  <c r="D32" i="1"/>
  <c r="H32" i="1"/>
  <c r="M32" i="1"/>
  <c r="E36" i="1"/>
  <c r="J36" i="1"/>
  <c r="B36" i="1"/>
  <c r="F36" i="1"/>
  <c r="K36" i="1"/>
  <c r="C36" i="1"/>
  <c r="G36" i="1"/>
  <c r="L36" i="1"/>
  <c r="D36" i="1"/>
  <c r="H36" i="1"/>
  <c r="M36" i="1"/>
  <c r="A28" i="1" l="1"/>
  <c r="A36" i="1" s="1"/>
  <c r="A24" i="1" l="1"/>
  <c r="A32" i="1" s="1"/>
  <c r="A25" i="1"/>
  <c r="A33" i="1" s="1"/>
  <c r="A26" i="1"/>
  <c r="A34" i="1" s="1"/>
  <c r="A27" i="1"/>
  <c r="A35" i="1" s="1"/>
  <c r="A23" i="1"/>
  <c r="A31" i="1" s="1"/>
  <c r="L31" i="1"/>
  <c r="L37" i="1" s="1"/>
  <c r="L38" i="1" s="1"/>
  <c r="B31" i="1"/>
  <c r="B37" i="1" s="1"/>
  <c r="B38" i="1" s="1"/>
  <c r="H31" i="1"/>
  <c r="H37" i="1" s="1"/>
  <c r="H38" i="1" s="1"/>
  <c r="K31" i="1"/>
  <c r="K37" i="1" s="1"/>
  <c r="K38" i="1" s="1"/>
  <c r="J31" i="1" l="1"/>
  <c r="J37" i="1" s="1"/>
  <c r="J38" i="1" s="1"/>
  <c r="M31" i="1"/>
  <c r="M37" i="1" s="1"/>
  <c r="M38" i="1" s="1"/>
  <c r="D31" i="1"/>
  <c r="D37" i="1" s="1"/>
  <c r="D38" i="1" s="1"/>
  <c r="E31" i="1"/>
  <c r="E37" i="1" s="1"/>
  <c r="E38" i="1" s="1"/>
  <c r="G31" i="1"/>
  <c r="G37" i="1" s="1"/>
  <c r="G38" i="1" s="1"/>
  <c r="C31" i="1"/>
  <c r="C37" i="1" s="1"/>
  <c r="C38" i="1" s="1"/>
  <c r="F31" i="1"/>
  <c r="F37" i="1" s="1"/>
  <c r="F38" i="1" s="1"/>
</calcChain>
</file>

<file path=xl/sharedStrings.xml><?xml version="1.0" encoding="utf-8"?>
<sst xmlns="http://schemas.openxmlformats.org/spreadsheetml/2006/main" count="56" uniqueCount="49">
  <si>
    <t>Lot</t>
  </si>
  <si>
    <t>Linezolid</t>
  </si>
  <si>
    <t>Ciprofloxacin</t>
  </si>
  <si>
    <t>Piperacillin Sodium Salt</t>
  </si>
  <si>
    <t>Name of analyte</t>
  </si>
  <si>
    <t>Manufacturer</t>
  </si>
  <si>
    <t>Catalogue-nr.</t>
  </si>
  <si>
    <t>initial weight</t>
  </si>
  <si>
    <t>final volume</t>
  </si>
  <si>
    <t>solvent</t>
  </si>
  <si>
    <t>[g/mol]</t>
  </si>
  <si>
    <t>total molecular weight (MW)</t>
  </si>
  <si>
    <t>MW without counterion</t>
  </si>
  <si>
    <t>MW counterion</t>
  </si>
  <si>
    <t>conc. stock solution</t>
  </si>
  <si>
    <t>[mg/mL]</t>
  </si>
  <si>
    <t>factor counterion</t>
  </si>
  <si>
    <t>Percentage spike solution:</t>
  </si>
  <si>
    <t>Final volume spike solution [mL]:</t>
  </si>
  <si>
    <t>Solvent:</t>
  </si>
  <si>
    <t>[mg]</t>
  </si>
  <si>
    <t>[mL]</t>
  </si>
  <si>
    <t>MeOH/water 25/75</t>
  </si>
  <si>
    <t>[%]</t>
  </si>
  <si>
    <t>Cefepime dihydrochloride monohydrate</t>
  </si>
  <si>
    <t>Moxifloxacin hydrochloride</t>
  </si>
  <si>
    <t>Cal 7</t>
  </si>
  <si>
    <t>Cal 6</t>
  </si>
  <si>
    <t>Cal 5</t>
  </si>
  <si>
    <t>Cal 4</t>
  </si>
  <si>
    <t>Cal 3</t>
  </si>
  <si>
    <t>Cal 2</t>
  </si>
  <si>
    <t>Cal 1</t>
  </si>
  <si>
    <t>Cal 0</t>
  </si>
  <si>
    <t>QC A</t>
  </si>
  <si>
    <t>QC B</t>
  </si>
  <si>
    <t>QC C</t>
  </si>
  <si>
    <t>QC D</t>
  </si>
  <si>
    <t>concentration [µg/mL]:</t>
  </si>
  <si>
    <t>corresponding volume of stock solution [µL]</t>
  </si>
  <si>
    <t>total volume [µL]</t>
  </si>
  <si>
    <t>add MeOH/water 25/75 [µL]</t>
  </si>
  <si>
    <t>insertion possible</t>
  </si>
  <si>
    <t>no insertion allowed</t>
  </si>
  <si>
    <t>Instructions:</t>
  </si>
  <si>
    <t>MeOH/water 25/75 + acetic acid 20mM</t>
  </si>
  <si>
    <t>Antibiotics -  Stock solutions used to prepare calibrators and QCs</t>
  </si>
  <si>
    <t>Meropenem trihydrate</t>
  </si>
  <si>
    <t xml:space="preserve">purity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</si>
</sst>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%"/>
    <numFmt numFmtId="167" formatCode="0.0000"/>
  </numFmts>
  <fonts count="7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165" fontId="3" fillId="0" borderId="0" xfId="0" applyNumberFormat="1" applyFont="1" applyProtection="1"/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/>
    </xf>
    <xf numFmtId="164" fontId="3" fillId="3" borderId="7" xfId="0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164" fontId="3" fillId="3" borderId="9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center" vertical="center"/>
    </xf>
    <xf numFmtId="164" fontId="3" fillId="3" borderId="1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65" fontId="3" fillId="3" borderId="6" xfId="0" applyNumberFormat="1" applyFont="1" applyFill="1" applyBorder="1" applyAlignment="1" applyProtection="1">
      <alignment horizontal="center" vertical="center"/>
    </xf>
    <xf numFmtId="165" fontId="3" fillId="3" borderId="7" xfId="0" applyNumberFormat="1" applyFont="1" applyFill="1" applyBorder="1" applyAlignment="1" applyProtection="1">
      <alignment horizontal="center" vertical="center"/>
    </xf>
    <xf numFmtId="165" fontId="3" fillId="3" borderId="4" xfId="0" applyNumberFormat="1" applyFont="1" applyFill="1" applyBorder="1" applyAlignment="1" applyProtection="1">
      <alignment horizontal="center" vertical="center"/>
    </xf>
    <xf numFmtId="165" fontId="3" fillId="3" borderId="9" xfId="0" applyNumberFormat="1" applyFont="1" applyFill="1" applyBorder="1" applyAlignment="1" applyProtection="1">
      <alignment horizontal="center" vertical="center"/>
    </xf>
    <xf numFmtId="165" fontId="3" fillId="3" borderId="21" xfId="0" applyNumberFormat="1" applyFont="1" applyFill="1" applyBorder="1" applyAlignment="1" applyProtection="1">
      <alignment horizontal="center" vertical="center"/>
    </xf>
    <xf numFmtId="165" fontId="3" fillId="3" borderId="22" xfId="0" applyNumberFormat="1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165" fontId="3" fillId="3" borderId="11" xfId="0" applyNumberFormat="1" applyFont="1" applyFill="1" applyBorder="1" applyAlignment="1" applyProtection="1">
      <alignment horizontal="center" vertical="center"/>
    </xf>
    <xf numFmtId="165" fontId="3" fillId="3" borderId="12" xfId="0" applyNumberFormat="1" applyFont="1" applyFill="1" applyBorder="1" applyAlignment="1" applyProtection="1">
      <alignment horizontal="center" vertical="center"/>
    </xf>
    <xf numFmtId="2" fontId="3" fillId="3" borderId="6" xfId="0" applyNumberFormat="1" applyFont="1" applyFill="1" applyBorder="1" applyAlignment="1" applyProtection="1">
      <alignment horizontal="center" vertical="center"/>
    </xf>
    <xf numFmtId="167" fontId="3" fillId="3" borderId="6" xfId="0" applyNumberFormat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2" fontId="3" fillId="3" borderId="4" xfId="0" applyNumberFormat="1" applyFont="1" applyFill="1" applyBorder="1" applyAlignment="1" applyProtection="1">
      <alignment horizontal="center" vertical="center"/>
    </xf>
    <xf numFmtId="167" fontId="3" fillId="3" borderId="4" xfId="0" applyNumberFormat="1" applyFont="1" applyFill="1" applyBorder="1" applyAlignment="1" applyProtection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</xf>
    <xf numFmtId="167" fontId="3" fillId="3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166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9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165" fontId="3" fillId="2" borderId="6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167" fontId="4" fillId="3" borderId="7" xfId="0" applyNumberFormat="1" applyFont="1" applyFill="1" applyBorder="1" applyAlignment="1" applyProtection="1">
      <alignment horizontal="center" vertical="center"/>
    </xf>
    <xf numFmtId="167" fontId="4" fillId="3" borderId="9" xfId="0" applyNumberFormat="1" applyFont="1" applyFill="1" applyBorder="1" applyAlignment="1" applyProtection="1">
      <alignment horizontal="center" vertical="center"/>
    </xf>
    <xf numFmtId="167" fontId="4" fillId="3" borderId="12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abSelected="1" zoomScale="90" zoomScaleNormal="90" workbookViewId="0">
      <selection activeCell="J18" sqref="J18"/>
    </sheetView>
  </sheetViews>
  <sheetFormatPr baseColWidth="10" defaultRowHeight="14.25" x14ac:dyDescent="0.2"/>
  <cols>
    <col min="1" max="1" width="35.85546875" style="1" customWidth="1"/>
    <col min="2" max="2" width="15.5703125" style="1" customWidth="1"/>
    <col min="3" max="4" width="14.5703125" style="1" customWidth="1"/>
    <col min="5" max="5" width="14.42578125" style="1" customWidth="1"/>
    <col min="6" max="6" width="15.42578125" style="1" customWidth="1"/>
    <col min="7" max="7" width="14.42578125" style="1" customWidth="1"/>
    <col min="8" max="8" width="14.5703125" style="1" customWidth="1"/>
    <col min="9" max="13" width="14.42578125" style="1" customWidth="1"/>
    <col min="14" max="14" width="13.140625" style="1" customWidth="1"/>
    <col min="15" max="15" width="14" style="1" customWidth="1"/>
    <col min="16" max="17" width="15.42578125" style="1" customWidth="1"/>
    <col min="18" max="16384" width="11.42578125" style="1"/>
  </cols>
  <sheetData>
    <row r="1" spans="1:28" ht="15.75" x14ac:dyDescent="0.25">
      <c r="A1" s="81" t="s">
        <v>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2"/>
    </row>
    <row r="2" spans="1:2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8" x14ac:dyDescent="0.2">
      <c r="A3" s="68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1"/>
      <c r="O3" s="41"/>
      <c r="P3" s="2"/>
      <c r="S3" s="2"/>
      <c r="V3" s="2"/>
      <c r="W3" s="2"/>
      <c r="X3" s="2"/>
      <c r="Y3" s="2"/>
      <c r="Z3" s="2"/>
      <c r="AA3" s="2"/>
      <c r="AB3" s="2"/>
    </row>
    <row r="4" spans="1:28" x14ac:dyDescent="0.2">
      <c r="A4" s="35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1"/>
      <c r="O4" s="41"/>
      <c r="P4" s="2"/>
      <c r="S4" s="2"/>
      <c r="V4" s="2"/>
      <c r="W4" s="2"/>
      <c r="X4" s="2"/>
      <c r="Y4" s="2"/>
      <c r="Z4" s="2"/>
      <c r="AA4" s="2"/>
      <c r="AB4" s="2"/>
    </row>
    <row r="5" spans="1:28" x14ac:dyDescent="0.2">
      <c r="A5" s="18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1"/>
      <c r="O5" s="41"/>
      <c r="P5" s="2"/>
      <c r="S5" s="2"/>
      <c r="V5" s="2"/>
      <c r="W5" s="2"/>
      <c r="X5" s="2"/>
      <c r="Y5" s="2"/>
      <c r="Z5" s="2"/>
      <c r="AA5" s="2"/>
      <c r="AB5" s="2"/>
    </row>
    <row r="6" spans="1:28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1"/>
      <c r="O6" s="2"/>
      <c r="P6" s="2"/>
      <c r="S6" s="2"/>
      <c r="V6" s="2"/>
      <c r="W6" s="2"/>
      <c r="X6" s="2"/>
      <c r="Y6" s="2"/>
      <c r="Z6" s="2"/>
      <c r="AA6" s="2"/>
      <c r="AB6" s="2"/>
    </row>
    <row r="7" spans="1:28" ht="15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1"/>
      <c r="O7" s="2"/>
      <c r="P7" s="2"/>
      <c r="S7" s="2"/>
      <c r="V7" s="2"/>
      <c r="W7" s="2"/>
      <c r="X7" s="2"/>
      <c r="Y7" s="2"/>
      <c r="Z7" s="2"/>
      <c r="AA7" s="2"/>
      <c r="AB7" s="2"/>
    </row>
    <row r="8" spans="1:28" ht="22.5" x14ac:dyDescent="0.2">
      <c r="A8" s="9" t="s">
        <v>4</v>
      </c>
      <c r="B8" s="22" t="s">
        <v>5</v>
      </c>
      <c r="C8" s="22" t="s">
        <v>6</v>
      </c>
      <c r="D8" s="22" t="s">
        <v>0</v>
      </c>
      <c r="E8" s="22" t="s">
        <v>7</v>
      </c>
      <c r="F8" s="22" t="s">
        <v>8</v>
      </c>
      <c r="G8" s="82" t="s">
        <v>9</v>
      </c>
      <c r="H8" s="82"/>
      <c r="I8" s="10" t="s">
        <v>48</v>
      </c>
      <c r="J8" s="10" t="s">
        <v>11</v>
      </c>
      <c r="K8" s="10" t="s">
        <v>12</v>
      </c>
      <c r="L8" s="10" t="s">
        <v>13</v>
      </c>
      <c r="M8" s="10" t="s">
        <v>16</v>
      </c>
      <c r="N8" s="11" t="s">
        <v>14</v>
      </c>
      <c r="O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thickBot="1" x14ac:dyDescent="0.25">
      <c r="A9" s="69"/>
      <c r="B9" s="70"/>
      <c r="C9" s="70"/>
      <c r="D9" s="70"/>
      <c r="E9" s="70" t="s">
        <v>20</v>
      </c>
      <c r="F9" s="70" t="s">
        <v>21</v>
      </c>
      <c r="G9" s="70"/>
      <c r="H9" s="70"/>
      <c r="I9" s="70" t="s">
        <v>23</v>
      </c>
      <c r="J9" s="70" t="s">
        <v>10</v>
      </c>
      <c r="K9" s="70" t="s">
        <v>10</v>
      </c>
      <c r="L9" s="70" t="s">
        <v>10</v>
      </c>
      <c r="M9" s="70"/>
      <c r="N9" s="71" t="s">
        <v>15</v>
      </c>
      <c r="O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">
      <c r="A10" s="44" t="s">
        <v>24</v>
      </c>
      <c r="B10" s="45"/>
      <c r="C10" s="45"/>
      <c r="D10" s="45"/>
      <c r="E10" s="45">
        <v>60</v>
      </c>
      <c r="F10" s="45">
        <v>5</v>
      </c>
      <c r="G10" s="83" t="s">
        <v>22</v>
      </c>
      <c r="H10" s="84"/>
      <c r="I10" s="46">
        <v>1</v>
      </c>
      <c r="J10" s="47">
        <v>571.5</v>
      </c>
      <c r="K10" s="47">
        <v>480.55799999999999</v>
      </c>
      <c r="L10" s="33">
        <f t="shared" ref="L10:L15" si="0">J10-K10</f>
        <v>90.942000000000007</v>
      </c>
      <c r="M10" s="34">
        <f t="shared" ref="M10:M15" si="1">K10/(K10+L10)</f>
        <v>0.84087139107611553</v>
      </c>
      <c r="N10" s="72">
        <f t="shared" ref="N10:N15" si="2">(E10/F10)*I10*M10</f>
        <v>10.090456692913387</v>
      </c>
      <c r="O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">
      <c r="A11" s="48" t="s">
        <v>2</v>
      </c>
      <c r="B11" s="49"/>
      <c r="C11" s="49"/>
      <c r="D11" s="49"/>
      <c r="E11" s="49">
        <v>20</v>
      </c>
      <c r="F11" s="49">
        <v>10</v>
      </c>
      <c r="G11" s="76" t="s">
        <v>45</v>
      </c>
      <c r="H11" s="77"/>
      <c r="I11" s="50">
        <v>0.98</v>
      </c>
      <c r="J11" s="51">
        <v>331.35</v>
      </c>
      <c r="K11" s="51">
        <v>331.34699999999998</v>
      </c>
      <c r="L11" s="36">
        <f t="shared" si="0"/>
        <v>3.0000000000427463E-3</v>
      </c>
      <c r="M11" s="37">
        <f t="shared" si="1"/>
        <v>0.99999094612947026</v>
      </c>
      <c r="N11" s="73">
        <f t="shared" si="2"/>
        <v>1.9599822544137617</v>
      </c>
      <c r="O11" s="2"/>
      <c r="Q11" s="2"/>
      <c r="R11" s="2"/>
      <c r="S11" s="4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">
      <c r="A12" s="48" t="s">
        <v>1</v>
      </c>
      <c r="B12" s="49"/>
      <c r="C12" s="49"/>
      <c r="D12" s="49"/>
      <c r="E12" s="49">
        <v>15</v>
      </c>
      <c r="F12" s="49">
        <v>5</v>
      </c>
      <c r="G12" s="76" t="s">
        <v>22</v>
      </c>
      <c r="H12" s="77"/>
      <c r="I12" s="50">
        <v>0.98</v>
      </c>
      <c r="J12" s="51">
        <v>337.35</v>
      </c>
      <c r="K12" s="51">
        <v>337.35</v>
      </c>
      <c r="L12" s="36">
        <f t="shared" si="0"/>
        <v>0</v>
      </c>
      <c r="M12" s="37">
        <f t="shared" si="1"/>
        <v>1</v>
      </c>
      <c r="N12" s="73">
        <f t="shared" si="2"/>
        <v>2.94</v>
      </c>
      <c r="O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">
      <c r="A13" s="75" t="s">
        <v>47</v>
      </c>
      <c r="B13" s="49"/>
      <c r="C13" s="49"/>
      <c r="D13" s="49"/>
      <c r="E13" s="49">
        <v>40</v>
      </c>
      <c r="F13" s="49">
        <v>10</v>
      </c>
      <c r="G13" s="76" t="s">
        <v>22</v>
      </c>
      <c r="H13" s="77"/>
      <c r="I13" s="50">
        <v>1</v>
      </c>
      <c r="J13" s="51">
        <v>437.51</v>
      </c>
      <c r="K13" s="51">
        <v>383.46</v>
      </c>
      <c r="L13" s="36">
        <f t="shared" si="0"/>
        <v>54.050000000000011</v>
      </c>
      <c r="M13" s="37">
        <f t="shared" si="1"/>
        <v>0.87645996662933412</v>
      </c>
      <c r="N13" s="73">
        <f t="shared" si="2"/>
        <v>3.5058398665173365</v>
      </c>
      <c r="O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2">
      <c r="A14" s="48" t="s">
        <v>3</v>
      </c>
      <c r="B14" s="49"/>
      <c r="C14" s="49"/>
      <c r="D14" s="49"/>
      <c r="E14" s="49">
        <v>100</v>
      </c>
      <c r="F14" s="49">
        <v>5</v>
      </c>
      <c r="G14" s="76" t="s">
        <v>22</v>
      </c>
      <c r="H14" s="77"/>
      <c r="I14" s="50">
        <v>1</v>
      </c>
      <c r="J14" s="51">
        <v>539.54</v>
      </c>
      <c r="K14" s="51">
        <v>517.55999999999995</v>
      </c>
      <c r="L14" s="36">
        <f t="shared" si="0"/>
        <v>21.980000000000018</v>
      </c>
      <c r="M14" s="37">
        <f t="shared" si="1"/>
        <v>0.95926159320902993</v>
      </c>
      <c r="N14" s="73">
        <f t="shared" si="2"/>
        <v>19.185231864180597</v>
      </c>
      <c r="O14" s="2"/>
      <c r="Q14" s="2"/>
      <c r="R14" s="2"/>
      <c r="AA14" s="2"/>
      <c r="AB14" s="2"/>
    </row>
    <row r="15" spans="1:28" ht="15" thickBot="1" x14ac:dyDescent="0.25">
      <c r="A15" s="52" t="s">
        <v>25</v>
      </c>
      <c r="B15" s="53"/>
      <c r="C15" s="53"/>
      <c r="D15" s="53"/>
      <c r="E15" s="53">
        <v>20</v>
      </c>
      <c r="F15" s="53">
        <v>5</v>
      </c>
      <c r="G15" s="76" t="s">
        <v>45</v>
      </c>
      <c r="H15" s="77"/>
      <c r="I15" s="54">
        <v>0.98</v>
      </c>
      <c r="J15" s="55">
        <v>437.9</v>
      </c>
      <c r="K15" s="55">
        <v>401.44</v>
      </c>
      <c r="L15" s="38">
        <f t="shared" si="0"/>
        <v>36.45999999999998</v>
      </c>
      <c r="M15" s="39">
        <f t="shared" si="1"/>
        <v>0.91673898150262623</v>
      </c>
      <c r="N15" s="74">
        <f t="shared" si="2"/>
        <v>3.5936168074902946</v>
      </c>
      <c r="O15" s="2"/>
      <c r="Q15" s="2"/>
      <c r="R15" s="2"/>
      <c r="AA15" s="2"/>
      <c r="AB15" s="2"/>
    </row>
    <row r="16" spans="1:28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2"/>
      <c r="P16" s="2"/>
      <c r="Q16" s="2"/>
      <c r="R16" s="2"/>
      <c r="AA16" s="2"/>
      <c r="AB16" s="2"/>
    </row>
    <row r="17" spans="1:28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2"/>
      <c r="N17" s="2"/>
      <c r="O17" s="2"/>
      <c r="P17" s="2"/>
      <c r="Q17" s="2"/>
      <c r="R17" s="2"/>
      <c r="AA17" s="2"/>
      <c r="AB17" s="2"/>
    </row>
    <row r="18" spans="1:28" x14ac:dyDescent="0.2">
      <c r="A18" s="43" t="s">
        <v>17</v>
      </c>
      <c r="B18" s="56">
        <v>0.1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2"/>
      <c r="O18" s="2"/>
      <c r="P18" s="2"/>
      <c r="Q18" s="2"/>
      <c r="R18" s="2"/>
      <c r="AA18" s="2"/>
      <c r="AB18" s="2"/>
    </row>
    <row r="19" spans="1:28" x14ac:dyDescent="0.2">
      <c r="A19" s="43" t="s">
        <v>18</v>
      </c>
      <c r="B19" s="49">
        <v>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2"/>
      <c r="O19" s="2"/>
      <c r="P19" s="2"/>
      <c r="Q19" s="2"/>
      <c r="R19" s="2"/>
      <c r="AA19" s="2"/>
      <c r="AB19" s="2"/>
    </row>
    <row r="20" spans="1:28" x14ac:dyDescent="0.2">
      <c r="A20" s="43" t="s">
        <v>19</v>
      </c>
      <c r="B20" s="49" t="s">
        <v>22</v>
      </c>
      <c r="C20" s="40"/>
      <c r="D20" s="40"/>
      <c r="E20" s="40"/>
      <c r="F20" s="40"/>
      <c r="G20" s="40"/>
      <c r="H20" s="40"/>
      <c r="I20" s="40"/>
      <c r="J20" s="40"/>
      <c r="K20" s="40"/>
      <c r="L20" s="41"/>
      <c r="M20" s="41"/>
      <c r="N20" s="2"/>
      <c r="O20" s="2"/>
      <c r="P20" s="2"/>
      <c r="Q20" s="2"/>
      <c r="R20" s="2"/>
      <c r="AA20" s="2"/>
      <c r="AB20" s="2"/>
    </row>
    <row r="21" spans="1:28" ht="15" thickBo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1"/>
      <c r="N21" s="2"/>
      <c r="O21" s="2"/>
      <c r="P21" s="2"/>
      <c r="Q21" s="2"/>
      <c r="R21" s="2"/>
      <c r="AA21" s="2"/>
      <c r="AB21" s="2"/>
    </row>
    <row r="22" spans="1:28" ht="15" thickBot="1" x14ac:dyDescent="0.25">
      <c r="A22" s="9" t="s">
        <v>38</v>
      </c>
      <c r="B22" s="13" t="s">
        <v>26</v>
      </c>
      <c r="C22" s="13" t="s">
        <v>27</v>
      </c>
      <c r="D22" s="13" t="s">
        <v>28</v>
      </c>
      <c r="E22" s="13" t="s">
        <v>29</v>
      </c>
      <c r="F22" s="13" t="s">
        <v>30</v>
      </c>
      <c r="G22" s="13" t="s">
        <v>31</v>
      </c>
      <c r="H22" s="13" t="s">
        <v>32</v>
      </c>
      <c r="I22" s="13" t="s">
        <v>33</v>
      </c>
      <c r="J22" s="13" t="s">
        <v>34</v>
      </c>
      <c r="K22" s="12" t="s">
        <v>35</v>
      </c>
      <c r="L22" s="12" t="s">
        <v>36</v>
      </c>
      <c r="M22" s="14" t="s">
        <v>37</v>
      </c>
      <c r="P22" s="2"/>
      <c r="Q22" s="2"/>
      <c r="R22" s="2"/>
      <c r="AA22" s="2"/>
      <c r="AB22" s="2"/>
    </row>
    <row r="23" spans="1:28" x14ac:dyDescent="0.2">
      <c r="A23" s="63" t="str">
        <f t="shared" ref="A23:A28" si="3">A10</f>
        <v>Cefepime dihydrochloride monohydrate</v>
      </c>
      <c r="B23" s="47">
        <v>200</v>
      </c>
      <c r="C23" s="47">
        <v>125</v>
      </c>
      <c r="D23" s="47">
        <v>50</v>
      </c>
      <c r="E23" s="47">
        <v>10</v>
      </c>
      <c r="F23" s="47">
        <v>2.5</v>
      </c>
      <c r="G23" s="47">
        <v>0.75</v>
      </c>
      <c r="H23" s="57">
        <v>0.25</v>
      </c>
      <c r="I23" s="47">
        <v>0</v>
      </c>
      <c r="J23" s="16">
        <f>3*H23</f>
        <v>0.75</v>
      </c>
      <c r="K23" s="16">
        <f t="shared" ref="K23:K28" si="4">0.25*B23</f>
        <v>50</v>
      </c>
      <c r="L23" s="16">
        <f t="shared" ref="L23:L28" si="5">0.5*B23</f>
        <v>100</v>
      </c>
      <c r="M23" s="17">
        <f t="shared" ref="M23:M28" si="6">0.75*B23</f>
        <v>150</v>
      </c>
      <c r="P23" s="2"/>
      <c r="Q23" s="2"/>
      <c r="R23" s="2"/>
      <c r="AA23" s="2"/>
      <c r="AB23" s="2"/>
    </row>
    <row r="24" spans="1:28" x14ac:dyDescent="0.2">
      <c r="A24" s="64" t="str">
        <f t="shared" si="3"/>
        <v>Ciprofloxacin</v>
      </c>
      <c r="B24" s="51">
        <v>10</v>
      </c>
      <c r="C24" s="51">
        <v>6.5</v>
      </c>
      <c r="D24" s="51">
        <v>3</v>
      </c>
      <c r="E24" s="51">
        <v>1</v>
      </c>
      <c r="F24" s="51">
        <v>0.3</v>
      </c>
      <c r="G24" s="51">
        <v>0.1</v>
      </c>
      <c r="H24" s="58">
        <v>0.05</v>
      </c>
      <c r="I24" s="51">
        <v>0</v>
      </c>
      <c r="J24" s="15">
        <f t="shared" ref="J24:J28" si="7">3*H24</f>
        <v>0.15000000000000002</v>
      </c>
      <c r="K24" s="15">
        <f t="shared" si="4"/>
        <v>2.5</v>
      </c>
      <c r="L24" s="15">
        <f t="shared" si="5"/>
        <v>5</v>
      </c>
      <c r="M24" s="19">
        <f t="shared" si="6"/>
        <v>7.5</v>
      </c>
      <c r="P24" s="2"/>
      <c r="Q24" s="2"/>
      <c r="R24" s="2"/>
      <c r="AA24" s="2"/>
      <c r="AB24" s="2"/>
    </row>
    <row r="25" spans="1:28" x14ac:dyDescent="0.2">
      <c r="A25" s="64" t="str">
        <f t="shared" si="3"/>
        <v>Linezolid</v>
      </c>
      <c r="B25" s="51">
        <v>50</v>
      </c>
      <c r="C25" s="51">
        <v>27.5</v>
      </c>
      <c r="D25" s="51">
        <v>12.5</v>
      </c>
      <c r="E25" s="51">
        <v>3</v>
      </c>
      <c r="F25" s="51">
        <v>0.75</v>
      </c>
      <c r="G25" s="51">
        <v>0.25</v>
      </c>
      <c r="H25" s="58">
        <v>0.125</v>
      </c>
      <c r="I25" s="51">
        <v>0</v>
      </c>
      <c r="J25" s="15">
        <f t="shared" si="7"/>
        <v>0.375</v>
      </c>
      <c r="K25" s="15">
        <f t="shared" si="4"/>
        <v>12.5</v>
      </c>
      <c r="L25" s="15">
        <f t="shared" si="5"/>
        <v>25</v>
      </c>
      <c r="M25" s="19">
        <f t="shared" si="6"/>
        <v>37.5</v>
      </c>
      <c r="P25" s="2"/>
      <c r="Q25" s="2"/>
      <c r="R25" s="2"/>
      <c r="AA25" s="2"/>
      <c r="AB25" s="2"/>
    </row>
    <row r="26" spans="1:28" x14ac:dyDescent="0.2">
      <c r="A26" s="64" t="str">
        <f t="shared" si="3"/>
        <v>Meropenem trihydrate</v>
      </c>
      <c r="B26" s="51">
        <v>120</v>
      </c>
      <c r="C26" s="51">
        <v>80</v>
      </c>
      <c r="D26" s="51">
        <v>40</v>
      </c>
      <c r="E26" s="51">
        <v>10</v>
      </c>
      <c r="F26" s="51">
        <v>2.5</v>
      </c>
      <c r="G26" s="51">
        <v>0.75</v>
      </c>
      <c r="H26" s="58">
        <v>0.25</v>
      </c>
      <c r="I26" s="51">
        <v>0</v>
      </c>
      <c r="J26" s="15">
        <f t="shared" si="7"/>
        <v>0.75</v>
      </c>
      <c r="K26" s="15">
        <f t="shared" si="4"/>
        <v>30</v>
      </c>
      <c r="L26" s="15">
        <f t="shared" si="5"/>
        <v>60</v>
      </c>
      <c r="M26" s="19">
        <f t="shared" si="6"/>
        <v>90</v>
      </c>
      <c r="P26" s="2"/>
      <c r="Q26" s="2"/>
      <c r="R26" s="2"/>
      <c r="AA26" s="2"/>
      <c r="AB26" s="2"/>
    </row>
    <row r="27" spans="1:28" x14ac:dyDescent="0.2">
      <c r="A27" s="64" t="str">
        <f t="shared" si="3"/>
        <v>Piperacillin Sodium Salt</v>
      </c>
      <c r="B27" s="51">
        <v>400</v>
      </c>
      <c r="C27" s="51">
        <v>225</v>
      </c>
      <c r="D27" s="51">
        <v>100</v>
      </c>
      <c r="E27" s="51">
        <v>25</v>
      </c>
      <c r="F27" s="51">
        <v>6</v>
      </c>
      <c r="G27" s="51">
        <v>1.5</v>
      </c>
      <c r="H27" s="58">
        <v>0.5</v>
      </c>
      <c r="I27" s="51">
        <v>0</v>
      </c>
      <c r="J27" s="15">
        <f t="shared" si="7"/>
        <v>1.5</v>
      </c>
      <c r="K27" s="15">
        <f t="shared" si="4"/>
        <v>100</v>
      </c>
      <c r="L27" s="15">
        <f t="shared" si="5"/>
        <v>200</v>
      </c>
      <c r="M27" s="19">
        <f t="shared" si="6"/>
        <v>300</v>
      </c>
      <c r="P27" s="2"/>
      <c r="Q27" s="2"/>
      <c r="R27" s="2"/>
      <c r="AA27" s="2"/>
      <c r="AB27" s="2"/>
    </row>
    <row r="28" spans="1:28" ht="15" thickBot="1" x14ac:dyDescent="0.25">
      <c r="A28" s="65" t="str">
        <f t="shared" si="3"/>
        <v>Moxifloxacin hydrochloride</v>
      </c>
      <c r="B28" s="55">
        <v>10</v>
      </c>
      <c r="C28" s="55">
        <v>7.5</v>
      </c>
      <c r="D28" s="55">
        <v>5</v>
      </c>
      <c r="E28" s="55">
        <v>2</v>
      </c>
      <c r="F28" s="55">
        <v>0.75</v>
      </c>
      <c r="G28" s="55">
        <v>0.25</v>
      </c>
      <c r="H28" s="59">
        <v>0.125</v>
      </c>
      <c r="I28" s="55">
        <v>0</v>
      </c>
      <c r="J28" s="20">
        <f t="shared" si="7"/>
        <v>0.375</v>
      </c>
      <c r="K28" s="20">
        <f t="shared" si="4"/>
        <v>2.5</v>
      </c>
      <c r="L28" s="20">
        <f t="shared" si="5"/>
        <v>5</v>
      </c>
      <c r="M28" s="21">
        <f t="shared" si="6"/>
        <v>7.5</v>
      </c>
      <c r="P28" s="2"/>
    </row>
    <row r="29" spans="1:28" ht="15" thickBot="1" x14ac:dyDescent="0.25">
      <c r="A29" s="7"/>
      <c r="B29" s="6"/>
      <c r="C29" s="7"/>
      <c r="D29" s="7"/>
      <c r="E29" s="6"/>
      <c r="F29" s="6"/>
      <c r="G29" s="6"/>
      <c r="H29" s="6"/>
      <c r="I29" s="6"/>
      <c r="J29" s="2"/>
      <c r="K29" s="2"/>
      <c r="L29" s="2"/>
      <c r="M29" s="2"/>
      <c r="N29" s="2"/>
      <c r="O29" s="2"/>
      <c r="P29" s="2"/>
    </row>
    <row r="30" spans="1:28" ht="15" thickBot="1" x14ac:dyDescent="0.25">
      <c r="A30" s="66"/>
      <c r="B30" s="78" t="s">
        <v>39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80"/>
      <c r="N30" s="3"/>
      <c r="O30" s="5"/>
    </row>
    <row r="31" spans="1:28" x14ac:dyDescent="0.2">
      <c r="A31" s="63" t="str">
        <f t="shared" ref="A31:A36" si="8">A23</f>
        <v>Cefepime dihydrochloride monohydrate</v>
      </c>
      <c r="B31" s="23">
        <f t="shared" ref="B31:H36" si="9">($B$19/($N10*1000/B23)*1000)/$B$18</f>
        <v>991.0354213227123</v>
      </c>
      <c r="C31" s="23">
        <f t="shared" si="9"/>
        <v>619.3971383266952</v>
      </c>
      <c r="D31" s="23">
        <f t="shared" si="9"/>
        <v>247.75885533067807</v>
      </c>
      <c r="E31" s="23">
        <f t="shared" si="9"/>
        <v>49.551771066135601</v>
      </c>
      <c r="F31" s="23">
        <f t="shared" si="9"/>
        <v>12.3879427665339</v>
      </c>
      <c r="G31" s="23">
        <f t="shared" si="9"/>
        <v>3.7163828299601707</v>
      </c>
      <c r="H31" s="23">
        <f t="shared" si="9"/>
        <v>1.2387942766533904</v>
      </c>
      <c r="I31" s="60">
        <v>0</v>
      </c>
      <c r="J31" s="23">
        <f t="shared" ref="J31:M36" si="10">($B$19/($N10*1000/J23)*1000)/$B$18</f>
        <v>3.7163828299601707</v>
      </c>
      <c r="K31" s="23">
        <f t="shared" si="10"/>
        <v>247.75885533067807</v>
      </c>
      <c r="L31" s="23">
        <f t="shared" si="10"/>
        <v>495.51771066135615</v>
      </c>
      <c r="M31" s="24">
        <f t="shared" si="10"/>
        <v>743.27656599203408</v>
      </c>
      <c r="N31" s="8"/>
      <c r="O31" s="8"/>
    </row>
    <row r="32" spans="1:28" x14ac:dyDescent="0.2">
      <c r="A32" s="64" t="str">
        <f t="shared" si="8"/>
        <v>Ciprofloxacin</v>
      </c>
      <c r="B32" s="25">
        <f t="shared" si="9"/>
        <v>255.10435049808748</v>
      </c>
      <c r="C32" s="25">
        <f t="shared" si="9"/>
        <v>165.81782782375689</v>
      </c>
      <c r="D32" s="25">
        <f t="shared" si="9"/>
        <v>76.53130514942626</v>
      </c>
      <c r="E32" s="25">
        <f t="shared" si="9"/>
        <v>25.510435049808748</v>
      </c>
      <c r="F32" s="25">
        <f t="shared" si="9"/>
        <v>7.6531305149426263</v>
      </c>
      <c r="G32" s="25">
        <f t="shared" si="9"/>
        <v>2.5510435049808748</v>
      </c>
      <c r="H32" s="25">
        <f t="shared" si="9"/>
        <v>1.2755217524904374</v>
      </c>
      <c r="I32" s="61">
        <v>0</v>
      </c>
      <c r="J32" s="25">
        <f t="shared" si="10"/>
        <v>3.8265652574713136</v>
      </c>
      <c r="K32" s="25">
        <f t="shared" si="10"/>
        <v>63.776087624521871</v>
      </c>
      <c r="L32" s="25">
        <f t="shared" si="10"/>
        <v>127.55217524904374</v>
      </c>
      <c r="M32" s="26">
        <f t="shared" si="10"/>
        <v>191.32826287356565</v>
      </c>
      <c r="N32" s="8"/>
      <c r="O32" s="8"/>
    </row>
    <row r="33" spans="1:16" x14ac:dyDescent="0.2">
      <c r="A33" s="64" t="str">
        <f t="shared" si="8"/>
        <v>Linezolid</v>
      </c>
      <c r="B33" s="25">
        <f t="shared" si="9"/>
        <v>850.34013605442169</v>
      </c>
      <c r="C33" s="25">
        <f t="shared" si="9"/>
        <v>467.68707482993199</v>
      </c>
      <c r="D33" s="25">
        <f t="shared" si="9"/>
        <v>212.58503401360542</v>
      </c>
      <c r="E33" s="25">
        <f t="shared" si="9"/>
        <v>51.020408163265301</v>
      </c>
      <c r="F33" s="25">
        <f t="shared" si="9"/>
        <v>12.755102040816325</v>
      </c>
      <c r="G33" s="25">
        <f t="shared" si="9"/>
        <v>4.2517006802721085</v>
      </c>
      <c r="H33" s="25">
        <f t="shared" si="9"/>
        <v>2.1258503401360542</v>
      </c>
      <c r="I33" s="61">
        <v>0</v>
      </c>
      <c r="J33" s="25">
        <f t="shared" si="10"/>
        <v>6.3775510204081627</v>
      </c>
      <c r="K33" s="25">
        <f t="shared" si="10"/>
        <v>212.58503401360542</v>
      </c>
      <c r="L33" s="25">
        <f t="shared" si="10"/>
        <v>425.17006802721085</v>
      </c>
      <c r="M33" s="26">
        <f t="shared" si="10"/>
        <v>637.75510204081627</v>
      </c>
      <c r="N33" s="8"/>
      <c r="O33" s="8"/>
    </row>
    <row r="34" spans="1:16" x14ac:dyDescent="0.2">
      <c r="A34" s="64" t="str">
        <f t="shared" si="8"/>
        <v>Meropenem trihydrate</v>
      </c>
      <c r="B34" s="25">
        <f t="shared" si="9"/>
        <v>1711.4301361289313</v>
      </c>
      <c r="C34" s="25">
        <f t="shared" si="9"/>
        <v>1140.9534240859541</v>
      </c>
      <c r="D34" s="25">
        <f t="shared" si="9"/>
        <v>570.47671204297706</v>
      </c>
      <c r="E34" s="25">
        <f t="shared" si="9"/>
        <v>142.61917801074426</v>
      </c>
      <c r="F34" s="25">
        <f t="shared" si="9"/>
        <v>35.654794502686066</v>
      </c>
      <c r="G34" s="25">
        <f t="shared" si="9"/>
        <v>10.696438350805822</v>
      </c>
      <c r="H34" s="25">
        <f t="shared" si="9"/>
        <v>3.5654794502686071</v>
      </c>
      <c r="I34" s="61">
        <v>0</v>
      </c>
      <c r="J34" s="25">
        <f t="shared" si="10"/>
        <v>10.696438350805822</v>
      </c>
      <c r="K34" s="25">
        <f t="shared" si="10"/>
        <v>427.85753403223282</v>
      </c>
      <c r="L34" s="25">
        <f t="shared" si="10"/>
        <v>855.71506806446564</v>
      </c>
      <c r="M34" s="26">
        <f t="shared" si="10"/>
        <v>1283.5726020966986</v>
      </c>
      <c r="N34" s="8"/>
      <c r="O34" s="8"/>
    </row>
    <row r="35" spans="1:16" x14ac:dyDescent="0.2">
      <c r="A35" s="64" t="str">
        <f t="shared" si="8"/>
        <v>Piperacillin Sodium Salt</v>
      </c>
      <c r="B35" s="25">
        <f t="shared" si="9"/>
        <v>1042.4685060669294</v>
      </c>
      <c r="C35" s="25">
        <f t="shared" si="9"/>
        <v>586.38853466264777</v>
      </c>
      <c r="D35" s="25">
        <f t="shared" si="9"/>
        <v>260.61712651673236</v>
      </c>
      <c r="E35" s="25">
        <f t="shared" si="9"/>
        <v>65.154281629183089</v>
      </c>
      <c r="F35" s="25">
        <f t="shared" si="9"/>
        <v>15.637027591003942</v>
      </c>
      <c r="G35" s="25">
        <f t="shared" si="9"/>
        <v>3.9092568977509856</v>
      </c>
      <c r="H35" s="25">
        <f t="shared" si="9"/>
        <v>1.3030856325836617</v>
      </c>
      <c r="I35" s="61">
        <v>0</v>
      </c>
      <c r="J35" s="25">
        <f t="shared" si="10"/>
        <v>3.9092568977509856</v>
      </c>
      <c r="K35" s="25">
        <f t="shared" si="10"/>
        <v>260.61712651673236</v>
      </c>
      <c r="L35" s="25">
        <f t="shared" si="10"/>
        <v>521.23425303346471</v>
      </c>
      <c r="M35" s="26">
        <f t="shared" si="10"/>
        <v>781.85137955019695</v>
      </c>
      <c r="N35" s="8"/>
      <c r="O35" s="8"/>
    </row>
    <row r="36" spans="1:16" ht="15" thickBot="1" x14ac:dyDescent="0.25">
      <c r="A36" s="67" t="str">
        <f t="shared" si="8"/>
        <v>Moxifloxacin hydrochloride</v>
      </c>
      <c r="B36" s="27">
        <f t="shared" si="9"/>
        <v>139.13559146257148</v>
      </c>
      <c r="C36" s="27">
        <f t="shared" si="9"/>
        <v>104.35169359692861</v>
      </c>
      <c r="D36" s="27">
        <f t="shared" si="9"/>
        <v>69.567795731285742</v>
      </c>
      <c r="E36" s="27">
        <f t="shared" si="9"/>
        <v>27.827118292514296</v>
      </c>
      <c r="F36" s="27">
        <f t="shared" si="9"/>
        <v>10.435169359692861</v>
      </c>
      <c r="G36" s="27">
        <f t="shared" si="9"/>
        <v>3.478389786564287</v>
      </c>
      <c r="H36" s="27">
        <f t="shared" si="9"/>
        <v>1.7391948932821435</v>
      </c>
      <c r="I36" s="62">
        <v>0</v>
      </c>
      <c r="J36" s="27">
        <f t="shared" si="10"/>
        <v>5.2175846798464303</v>
      </c>
      <c r="K36" s="27">
        <f t="shared" si="10"/>
        <v>34.783897865642871</v>
      </c>
      <c r="L36" s="27">
        <f t="shared" si="10"/>
        <v>69.567795731285742</v>
      </c>
      <c r="M36" s="28">
        <f t="shared" si="10"/>
        <v>104.35169359692861</v>
      </c>
      <c r="N36" s="8"/>
      <c r="O36" s="8"/>
    </row>
    <row r="37" spans="1:16" x14ac:dyDescent="0.2">
      <c r="A37" s="63" t="s">
        <v>40</v>
      </c>
      <c r="B37" s="23">
        <f t="shared" ref="B37:H37" si="11">SUM(B31:B36)</f>
        <v>4989.5141415336529</v>
      </c>
      <c r="C37" s="23">
        <f t="shared" si="11"/>
        <v>3084.5956933259145</v>
      </c>
      <c r="D37" s="23">
        <f t="shared" si="11"/>
        <v>1437.5368287847048</v>
      </c>
      <c r="E37" s="23">
        <f t="shared" si="11"/>
        <v>361.68319221165126</v>
      </c>
      <c r="F37" s="23">
        <f t="shared" si="11"/>
        <v>94.523166775675733</v>
      </c>
      <c r="G37" s="23">
        <f t="shared" si="11"/>
        <v>28.60321205033425</v>
      </c>
      <c r="H37" s="23">
        <f t="shared" si="11"/>
        <v>11.247926345414294</v>
      </c>
      <c r="I37" s="29">
        <v>0</v>
      </c>
      <c r="J37" s="23">
        <f>SUM(J31:J36)</f>
        <v>33.743779036242884</v>
      </c>
      <c r="K37" s="23">
        <f>SUM(K31:K36)</f>
        <v>1247.3785353834132</v>
      </c>
      <c r="L37" s="23">
        <f>SUM(L31:L36)</f>
        <v>2494.7570707668265</v>
      </c>
      <c r="M37" s="24">
        <f>SUM(M31:M36)</f>
        <v>3742.1356061502406</v>
      </c>
      <c r="P37" s="2"/>
    </row>
    <row r="38" spans="1:16" ht="15" thickBot="1" x14ac:dyDescent="0.25">
      <c r="A38" s="30" t="s">
        <v>41</v>
      </c>
      <c r="B38" s="31">
        <f>$B$19*1000-B37</f>
        <v>10.485858466347054</v>
      </c>
      <c r="C38" s="31">
        <f>$B$19*1000-C37</f>
        <v>1915.4043066740855</v>
      </c>
      <c r="D38" s="31">
        <f>$B$19*1000-D37</f>
        <v>3562.463171215295</v>
      </c>
      <c r="E38" s="31">
        <f>$B$19*1000-E37</f>
        <v>4638.3168077883483</v>
      </c>
      <c r="F38" s="31">
        <f>$B$19*1000-F37</f>
        <v>4905.4768332243239</v>
      </c>
      <c r="G38" s="31">
        <f t="shared" ref="G38" si="12">$B$19*1000-G37</f>
        <v>4971.3967879496658</v>
      </c>
      <c r="H38" s="31">
        <f t="shared" ref="H38" si="13">$B$19*1000-H37</f>
        <v>4988.7520736545857</v>
      </c>
      <c r="I38" s="31">
        <f t="shared" ref="I38" si="14">$B$19*1000-I37</f>
        <v>5000</v>
      </c>
      <c r="J38" s="31">
        <f t="shared" ref="J38" si="15">$B$19*1000-J37</f>
        <v>4966.2562209637572</v>
      </c>
      <c r="K38" s="31">
        <f t="shared" ref="K38" si="16">$B$19*1000-K37</f>
        <v>3752.6214646165868</v>
      </c>
      <c r="L38" s="31">
        <f t="shared" ref="L38" si="17">$B$19*1000-L37</f>
        <v>2505.2429292331735</v>
      </c>
      <c r="M38" s="32">
        <f t="shared" ref="M38" si="18">$B$19*1000-M37</f>
        <v>1257.8643938497594</v>
      </c>
      <c r="P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">
      <c r="P41" s="2"/>
    </row>
    <row r="42" spans="1:16" x14ac:dyDescent="0.2">
      <c r="P42" s="2"/>
    </row>
    <row r="43" spans="1:16" x14ac:dyDescent="0.2">
      <c r="P43" s="2"/>
    </row>
    <row r="44" spans="1:16" x14ac:dyDescent="0.2">
      <c r="P44" s="2"/>
    </row>
    <row r="45" spans="1:16" x14ac:dyDescent="0.2">
      <c r="P45" s="2"/>
    </row>
    <row r="46" spans="1:16" x14ac:dyDescent="0.2">
      <c r="P46" s="2"/>
    </row>
    <row r="47" spans="1:16" x14ac:dyDescent="0.2">
      <c r="P47" s="2"/>
    </row>
    <row r="48" spans="1:16" x14ac:dyDescent="0.2">
      <c r="P48" s="2"/>
    </row>
    <row r="49" spans="16:16" x14ac:dyDescent="0.2">
      <c r="P49" s="2"/>
    </row>
    <row r="50" spans="16:16" x14ac:dyDescent="0.2">
      <c r="P50" s="2"/>
    </row>
    <row r="51" spans="16:16" x14ac:dyDescent="0.2">
      <c r="P51" s="2"/>
    </row>
    <row r="52" spans="16:16" x14ac:dyDescent="0.2">
      <c r="P52" s="2"/>
    </row>
    <row r="53" spans="16:16" x14ac:dyDescent="0.2">
      <c r="P53" s="2"/>
    </row>
    <row r="54" spans="16:16" x14ac:dyDescent="0.2">
      <c r="P54" s="2"/>
    </row>
  </sheetData>
  <protectedRanges>
    <protectedRange password="D813" sqref="J19:K19 O8:O9 C3:O7 B3:B11 M19 B12:C15 A1:O2 B41:B46 A53:A58 A61:A66 A6:A15 D8:N15" name="Bereich1"/>
  </protectedRanges>
  <sortState ref="A10:A13">
    <sortCondition ref="A9"/>
  </sortState>
  <mergeCells count="9">
    <mergeCell ref="G13:H13"/>
    <mergeCell ref="G14:H14"/>
    <mergeCell ref="G15:H15"/>
    <mergeCell ref="B30:M30"/>
    <mergeCell ref="A1:O1"/>
    <mergeCell ref="G8:H8"/>
    <mergeCell ref="G10:H10"/>
    <mergeCell ref="G11:H11"/>
    <mergeCell ref="G12:H12"/>
  </mergeCells>
  <phoneticPr fontId="1" type="noConversion"/>
  <pageMargins left="0.78740157499999996" right="0.78740157499999996" top="0.984251969" bottom="0.984251969" header="0.4921259845" footer="0.4921259845"/>
  <pageSetup paperSize="9" scale="70" orientation="landscape" r:id="rId1"/>
  <headerFooter alignWithMargins="0">
    <oddHeader>&amp;R&amp;D/GS</oddHeader>
    <oddFooter>&amp;L&amp;F&amp;C&amp;A&amp;RSeite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Stock solutions</vt:lpstr>
      <vt:lpstr>'Stock solutions'!Druckbereich</vt:lpstr>
    </vt:vector>
  </TitlesOfParts>
  <Company>Klinikum Grosshadern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grschuet</dc:creator>
  <cp:lastModifiedBy>mpaal</cp:lastModifiedBy>
  <cp:lastPrinted>2017-09-04T09:53:31Z</cp:lastPrinted>
  <dcterms:created xsi:type="dcterms:W3CDTF">2011-02-23T07:02:31Z</dcterms:created>
  <dcterms:modified xsi:type="dcterms:W3CDTF">2018-06-04T16:42:22Z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